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7.xml" ContentType="application/vnd.openxmlformats-officedocument.drawing+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8.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drawings/drawing9.xml" ContentType="application/vnd.openxmlformats-officedocument.drawing+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drawings/drawing10.xml" ContentType="application/vnd.openxmlformats-officedocument.drawing+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filterPrivacy="1" codeName="ThisWorkbook" autoCompressPictures="0"/>
  <xr:revisionPtr revIDLastSave="0" documentId="13_ncr:1_{7797CFC6-E69E-4A96-9D0E-CCDC39A7D834}" xr6:coauthVersionLast="47" xr6:coauthVersionMax="47" xr10:uidLastSave="{00000000-0000-0000-0000-000000000000}"/>
  <workbookProtection workbookAlgorithmName="SHA-512" workbookHashValue="wjSCCPMwl86MHxEjMDVboch8JxHZfzNAOPRAR5FA/XcbOGL7JsuQ++JticciQxifMs9QhQK8cOiZ1QOS9YgVyg==" workbookSaltValue="3sSiSG/evdgI+lS3fKeJYw==" workbookSpinCount="100000" lockStructure="1"/>
  <bookViews>
    <workbookView xWindow="-120" yWindow="-120" windowWidth="38640" windowHeight="15720" activeTab="3" xr2:uid="{427B152C-C63E-4B03-890E-06B8CE20E5CD}"/>
  </bookViews>
  <sheets>
    <sheet name="START HERE" sheetId="20" r:id="rId1"/>
    <sheet name="Detailed Summary" sheetId="18" r:id="rId2"/>
    <sheet name="Definitions" sheetId="30" r:id="rId3"/>
    <sheet name="Calendar" sheetId="14" r:id="rId4"/>
    <sheet name="Exceptions" sheetId="22" r:id="rId5"/>
    <sheet name="Term 1 Timetable" sheetId="17" r:id="rId6"/>
    <sheet name="Term 2 Timetable" sheetId="27" r:id="rId7"/>
    <sheet name="Term 3 Timetable" sheetId="28" r:id="rId8"/>
    <sheet name="Term 4 Timetable" sheetId="29" r:id="rId9"/>
    <sheet name="Schools" sheetId="25" state="hidden" r:id="rId10"/>
    <sheet name="Calculations" sheetId="24" state="hidden" r:id="rId11"/>
    <sheet name="Parameters" sheetId="16" state="hidden" r:id="rId12"/>
    <sheet name="Images" sheetId="15" state="veryHidden" r:id="rId13"/>
  </sheets>
  <definedNames>
    <definedName name="Calendar10Month">Calendar!$C$154</definedName>
    <definedName name="Calendar10MonthOption">MATCH(Calendar10Month,Months,0)</definedName>
    <definedName name="Calendar10Year">Calendar!$B$154</definedName>
    <definedName name="Calendar11Month">Calendar!$C$170</definedName>
    <definedName name="Calendar11MonthOption">MATCH(Calendar11Month,Months,0)</definedName>
    <definedName name="Calendar11Year">Calendar!$B$170</definedName>
    <definedName name="Calendar12Month">Calendar!$C$186</definedName>
    <definedName name="Calendar12MonthOption">MATCH(Calendar12Month,Months,0)</definedName>
    <definedName name="Calendar12Year">Calendar!$B$186</definedName>
    <definedName name="Calendar1Month">Calendar!$C$10</definedName>
    <definedName name="Calendar1MonthOption">MATCH(Calendar1Month,Months,0)</definedName>
    <definedName name="Calendar1Year">Calendar!$B$10</definedName>
    <definedName name="Calendar2Month">Calendar!$C$26</definedName>
    <definedName name="Calendar2MonthOption">MATCH(Calendar2Month,Months,0)</definedName>
    <definedName name="Calendar2Year">Calendar!$B$26</definedName>
    <definedName name="Calendar3Month">Calendar!$C$42</definedName>
    <definedName name="Calendar3MonthOption">MATCH(Calendar3Month,Months,0)</definedName>
    <definedName name="Calendar3Year">Calendar!$B$42</definedName>
    <definedName name="Calendar4Month">Calendar!$C$58</definedName>
    <definedName name="Calendar4MonthOption">MATCH(Calendar4Month,Months,0)</definedName>
    <definedName name="Calendar4Year">Calendar!$B$58</definedName>
    <definedName name="Calendar5Month">Calendar!$C$74</definedName>
    <definedName name="Calendar5MonthOption">MATCH(Calendar5Month,Months,0)</definedName>
    <definedName name="Calendar5Year">Calendar!$B$74</definedName>
    <definedName name="Calendar6Month">Calendar!$C$90</definedName>
    <definedName name="Calendar6MonthOption">MATCH(Calendar6Month,Months,0)</definedName>
    <definedName name="Calendar6Year">Calendar!$B$90</definedName>
    <definedName name="Calendar7Month">Calendar!$C$106</definedName>
    <definedName name="Calendar7MonthOption">MATCH(Calendar7Month,Months,0)</definedName>
    <definedName name="Calendar7Year">Calendar!$B$106</definedName>
    <definedName name="Calendar8Month">Calendar!$C$122</definedName>
    <definedName name="Calendar8MonthOption">MATCH(Calendar8Month,Months,0)</definedName>
    <definedName name="Calendar8Year">Calendar!$B$122</definedName>
    <definedName name="Calendar9Month">Calendar!$C$138</definedName>
    <definedName name="Calendar9MonthOption">MATCH(Calendar9Month,Months,0)</definedName>
    <definedName name="Calendar9Year">Calendar!$B$138</definedName>
    <definedName name="ColumnTitleRegion1..H12.1">Calendar!$B$12</definedName>
    <definedName name="ColumnTitleRegion10..H54.1">Calendar!$B$60</definedName>
    <definedName name="ColumnTitleRegion11..C56.1">Calendar!$B$60</definedName>
    <definedName name="ColumnTitleRegion12..D56.1">Calendar!$D$71</definedName>
    <definedName name="ColumnTitleRegion13..H68.1">Calendar!$B$76</definedName>
    <definedName name="ColumnTitleRegion14..C70.1">Calendar!$B$76</definedName>
    <definedName name="ColumnTitleRegion15..D70.1">Calendar!$D$87</definedName>
    <definedName name="ColumnTitleRegion16..H82.1">Calendar!$B$92</definedName>
    <definedName name="ColumnTitleRegion17..C84.1">Calendar!$B$92</definedName>
    <definedName name="ColumnTitleRegion18..D84.1">Calendar!$D$103</definedName>
    <definedName name="ColumnTitleRegion19..H96.1">Calendar!$B$108</definedName>
    <definedName name="ColumnTitleRegion2..C14.1">Calendar!$B$12</definedName>
    <definedName name="ColumnTitleRegion20..C98.1">Calendar!$B$108</definedName>
    <definedName name="ColumnTitleRegion21..D98.1">Calendar!$D$119</definedName>
    <definedName name="ColumnTitleRegion22..H110.1">Calendar!$B$124</definedName>
    <definedName name="ColumnTitleRegion23..C112.1">Calendar!$B$124</definedName>
    <definedName name="ColumnTitleRegion24..D112.1">Calendar!$D$135</definedName>
    <definedName name="ColumnTitleRegion25..H124.1">Calendar!$B$140</definedName>
    <definedName name="ColumnTitleRegion26..C126.1">Calendar!$B$140</definedName>
    <definedName name="ColumnTitleRegion27..D126.1">Calendar!$D$151</definedName>
    <definedName name="ColumnTitleRegion28..H138.1">Calendar!$B$156</definedName>
    <definedName name="ColumnTitleRegion29..C140.1">Calendar!$B$156</definedName>
    <definedName name="ColumnTitleRegion3..D14.1">Calendar!$D$23</definedName>
    <definedName name="ColumnTitleRegion30..D140.1">Calendar!$D$167</definedName>
    <definedName name="ColumnTitleRegion31..H152.1">Calendar!$B$172</definedName>
    <definedName name="ColumnTitleRegion32..C154.1">Calendar!$B$172</definedName>
    <definedName name="ColumnTitleRegion33..D154.1">Calendar!$D$183</definedName>
    <definedName name="ColumnTitleRegion34..H166.1">Calendar!$B$188</definedName>
    <definedName name="ColumnTitleRegion35..C168.1">Calendar!$B$188</definedName>
    <definedName name="ColumnTitleRegion36..D168.1">Calendar!$D$199</definedName>
    <definedName name="ColumnTitleRegion4..H26.1">Calendar!$B$28</definedName>
    <definedName name="ColumnTitleRegion5..C28.1">Calendar!$B$28</definedName>
    <definedName name="ColumnTitleRegion6..D28.1">Calendar!$D$39</definedName>
    <definedName name="ColumnTitleRegion7..H40.1">Calendar!$B$44</definedName>
    <definedName name="ColumnTitleRegion8..C42.1">Calendar!$B$44</definedName>
    <definedName name="ColumnTitleRegion9..D42.1">Calendar!$D$55</definedName>
    <definedName name="Days">{0,1,2,3,4,5,6}</definedName>
    <definedName name="First_Instructional_Day1">'START HERE'!$C$16</definedName>
    <definedName name="First_Instructional_Day2">'START HERE'!$C$17</definedName>
    <definedName name="First_Instructional_Day3">'START HERE'!$C$18</definedName>
    <definedName name="First_Instructional_Day4">'START HERE'!$C$19</definedName>
    <definedName name="First_Operational_Day">'START HERE'!$C$15</definedName>
    <definedName name="FTE">'START HERE'!$C$10</definedName>
    <definedName name="Last_Operational_Day">'START HERE'!$C$20</definedName>
    <definedName name="Months">{"January","February","March","April","May","June","July","August","September","October","November","December"}</definedName>
    <definedName name="Num_Terms">'START HERE'!$C$13</definedName>
    <definedName name="NumTeachers">'START HERE'!$C$11</definedName>
    <definedName name="part_time_days">'START HERE'!$C$14</definedName>
    <definedName name="PD_Length">'START HERE'!$C$26</definedName>
    <definedName name="Planning_Length">'START HERE'!$C$27</definedName>
    <definedName name="_xlnm.Print_Area" localSheetId="1">'Detailed Summary'!$A$1:$J$30</definedName>
    <definedName name="Rotation">'START HERE'!$C$21</definedName>
    <definedName name="rotationDays">Parameters!$I$1</definedName>
    <definedName name="School">'START HERE'!$C$9</definedName>
    <definedName name="TeacherName">'START HERE'!$C$7</definedName>
    <definedName name="TypicalHours">'START HERE'!$C$12</definedName>
    <definedName name="WeekdayOption">MATCH(WeekStart,Weekdays,0)+10</definedName>
    <definedName name="Weekdays">{"Monday","Tuesday","Wednesday","Thursday","Friday","Saturday","Sunday"}</definedName>
    <definedName name="WeekStart">Calendar!$B$12</definedName>
    <definedName name="WeekStartValue">IF(WeekStart="Monday",2,1)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2" i="25" l="1" a="1"/>
  <c r="J2" i="25" s="1"/>
  <c r="E21" i="24" a="1"/>
  <c r="E21" i="24" s="1"/>
  <c r="L18" i="17"/>
  <c r="N18" i="17" s="1"/>
  <c r="M18" i="17"/>
  <c r="L19" i="17"/>
  <c r="M19" i="17"/>
  <c r="N19" i="17"/>
  <c r="L20" i="17"/>
  <c r="M20" i="17"/>
  <c r="N20" i="17"/>
  <c r="L21" i="17"/>
  <c r="M21" i="17"/>
  <c r="N21" i="17"/>
  <c r="L22" i="17"/>
  <c r="M22" i="17"/>
  <c r="N22" i="17"/>
  <c r="L23" i="17"/>
  <c r="M23" i="17"/>
  <c r="N23" i="17"/>
  <c r="L24" i="17"/>
  <c r="M24" i="17"/>
  <c r="N24" i="17"/>
  <c r="L25" i="17"/>
  <c r="M25" i="17"/>
  <c r="N25" i="17"/>
  <c r="L26" i="17"/>
  <c r="M26" i="17"/>
  <c r="N26" i="17"/>
  <c r="L27" i="17"/>
  <c r="M27" i="17"/>
  <c r="N27" i="17"/>
  <c r="L28" i="17"/>
  <c r="M28" i="17"/>
  <c r="N28" i="17"/>
  <c r="L29" i="17"/>
  <c r="M29" i="17"/>
  <c r="N29" i="17"/>
  <c r="L30" i="17"/>
  <c r="M30" i="17"/>
  <c r="N30" i="17"/>
  <c r="L31" i="17"/>
  <c r="M31" i="17"/>
  <c r="N31" i="17"/>
  <c r="L32" i="17"/>
  <c r="M32" i="17"/>
  <c r="N32" i="17"/>
  <c r="L33" i="17"/>
  <c r="L34" i="17"/>
  <c r="L35" i="17"/>
  <c r="L36" i="17"/>
  <c r="L37" i="17"/>
  <c r="L38" i="17"/>
  <c r="L39" i="17"/>
  <c r="L40" i="17"/>
  <c r="L41" i="17"/>
  <c r="L42" i="17"/>
  <c r="L43" i="17"/>
  <c r="L44" i="17"/>
  <c r="L45" i="17"/>
  <c r="L46" i="17"/>
  <c r="L47" i="17"/>
  <c r="L48" i="17"/>
  <c r="L49" i="17"/>
  <c r="L50" i="17"/>
  <c r="M33" i="17"/>
  <c r="M34" i="17"/>
  <c r="M35" i="17"/>
  <c r="M36" i="17"/>
  <c r="M37" i="17"/>
  <c r="M38" i="17"/>
  <c r="M39" i="17"/>
  <c r="M40" i="17"/>
  <c r="M41" i="17"/>
  <c r="M42" i="17"/>
  <c r="M43" i="17"/>
  <c r="M44" i="17"/>
  <c r="M45" i="17"/>
  <c r="M46" i="17"/>
  <c r="M47" i="17"/>
  <c r="M48" i="17"/>
  <c r="M49" i="17"/>
  <c r="M50" i="17"/>
  <c r="N33" i="17"/>
  <c r="N34" i="17"/>
  <c r="N35" i="17"/>
  <c r="N36" i="17"/>
  <c r="N37" i="17"/>
  <c r="N38" i="17"/>
  <c r="N39" i="17"/>
  <c r="N40" i="17"/>
  <c r="N41" i="17"/>
  <c r="N42" i="17"/>
  <c r="N43" i="17"/>
  <c r="N44" i="17"/>
  <c r="N45" i="17"/>
  <c r="N46" i="17"/>
  <c r="N47" i="17"/>
  <c r="N48" i="17"/>
  <c r="N49" i="17"/>
  <c r="N50" i="17"/>
  <c r="E18" i="17"/>
  <c r="F18" i="17"/>
  <c r="G18" i="17"/>
  <c r="E19" i="17"/>
  <c r="F19" i="17"/>
  <c r="G19" i="17"/>
  <c r="E20" i="17"/>
  <c r="F20" i="17"/>
  <c r="G20" i="17"/>
  <c r="E21" i="17"/>
  <c r="G21" i="17" s="1"/>
  <c r="F21" i="17"/>
  <c r="E22" i="17"/>
  <c r="F22" i="17"/>
  <c r="G22" i="17"/>
  <c r="E23" i="17"/>
  <c r="F23" i="17"/>
  <c r="G23" i="17"/>
  <c r="E24" i="17"/>
  <c r="G24" i="17" s="1"/>
  <c r="F24" i="17"/>
  <c r="E25" i="17"/>
  <c r="F25" i="17" s="1"/>
  <c r="G25" i="17"/>
  <c r="E26" i="17"/>
  <c r="F26" i="17"/>
  <c r="G26" i="17"/>
  <c r="E27" i="17"/>
  <c r="F27" i="17"/>
  <c r="G27" i="17"/>
  <c r="E28" i="17"/>
  <c r="F28" i="17"/>
  <c r="G28" i="17"/>
  <c r="E29" i="17"/>
  <c r="F29" i="17"/>
  <c r="G29" i="17"/>
  <c r="E30" i="17"/>
  <c r="G30" i="17" s="1"/>
  <c r="F30" i="17"/>
  <c r="E31" i="17"/>
  <c r="F31" i="17" s="1"/>
  <c r="G31" i="17"/>
  <c r="E32" i="17"/>
  <c r="G32" i="17" s="1"/>
  <c r="F32" i="17"/>
  <c r="L25" i="16" a="1"/>
  <c r="L25" i="16" s="1"/>
  <c r="C15" i="16"/>
  <c r="C14" i="16"/>
  <c r="C13" i="16"/>
  <c r="C12" i="16"/>
  <c r="C11" i="16"/>
  <c r="C10" i="16"/>
  <c r="C9" i="16"/>
  <c r="C8" i="16"/>
  <c r="C7" i="16"/>
  <c r="AG69" i="24"/>
  <c r="AF90" i="24"/>
  <c r="AF68" i="24"/>
  <c r="AF46" i="24"/>
  <c r="AF89" i="24"/>
  <c r="AF67" i="24"/>
  <c r="AF45" i="24"/>
  <c r="AF23" i="24"/>
  <c r="AG47" i="24"/>
  <c r="AF24" i="24"/>
  <c r="AG25" i="24"/>
  <c r="AG91" i="24"/>
  <c r="C16" i="16"/>
  <c r="AP89" i="29"/>
  <c r="AO89" i="29"/>
  <c r="AN89" i="29"/>
  <c r="AP88" i="29"/>
  <c r="AO88" i="29"/>
  <c r="AN88" i="29"/>
  <c r="AP87" i="29"/>
  <c r="AO87" i="29"/>
  <c r="AN87" i="29"/>
  <c r="AP86" i="29"/>
  <c r="AO86" i="29"/>
  <c r="AN86" i="29"/>
  <c r="AP85" i="29"/>
  <c r="AO85" i="29"/>
  <c r="AN85" i="29"/>
  <c r="AP84" i="29"/>
  <c r="AO84" i="29"/>
  <c r="AN84" i="29"/>
  <c r="AP83" i="29"/>
  <c r="AO83" i="29"/>
  <c r="AN83" i="29"/>
  <c r="AP82" i="29"/>
  <c r="AO82" i="29"/>
  <c r="AN82" i="29"/>
  <c r="AP81" i="29"/>
  <c r="AO81" i="29"/>
  <c r="AN81" i="29"/>
  <c r="AP80" i="29"/>
  <c r="AO80" i="29"/>
  <c r="AN80" i="29"/>
  <c r="AP79" i="29"/>
  <c r="AO79" i="29"/>
  <c r="AN79" i="29"/>
  <c r="AP78" i="29"/>
  <c r="AO78" i="29"/>
  <c r="AN78" i="29"/>
  <c r="AP77" i="29"/>
  <c r="AO77" i="29"/>
  <c r="AN77" i="29"/>
  <c r="AP76" i="29"/>
  <c r="AO76" i="29"/>
  <c r="AN76" i="29"/>
  <c r="AP75" i="29"/>
  <c r="AO75" i="29"/>
  <c r="AN75" i="29"/>
  <c r="AP74" i="29"/>
  <c r="AO74" i="29"/>
  <c r="AN74" i="29"/>
  <c r="AP73" i="29"/>
  <c r="AO73" i="29"/>
  <c r="AN73" i="29"/>
  <c r="AP72" i="29"/>
  <c r="AO72" i="29"/>
  <c r="AN72" i="29"/>
  <c r="AP71" i="29"/>
  <c r="AO71" i="29"/>
  <c r="AN71" i="29"/>
  <c r="AP70" i="29"/>
  <c r="AO70" i="29"/>
  <c r="AN70" i="29"/>
  <c r="AP69" i="29"/>
  <c r="AO69" i="29"/>
  <c r="AN69" i="29"/>
  <c r="AP68" i="29"/>
  <c r="AO68" i="29"/>
  <c r="AN68" i="29"/>
  <c r="AP67" i="29"/>
  <c r="AO67" i="29"/>
  <c r="AN67" i="29"/>
  <c r="AP66" i="29"/>
  <c r="AO66" i="29"/>
  <c r="AN66" i="29"/>
  <c r="AP65" i="29"/>
  <c r="AO65" i="29"/>
  <c r="AN65" i="29"/>
  <c r="AP64" i="29"/>
  <c r="AO64" i="29"/>
  <c r="AN64" i="29"/>
  <c r="AP63" i="29"/>
  <c r="AO63" i="29"/>
  <c r="AN63" i="29"/>
  <c r="AP62" i="29"/>
  <c r="AO62" i="29"/>
  <c r="AN62" i="29"/>
  <c r="AP61" i="29"/>
  <c r="AO61" i="29"/>
  <c r="AN61" i="29"/>
  <c r="AP60" i="29"/>
  <c r="AO60" i="29"/>
  <c r="AN60" i="29"/>
  <c r="AP59" i="29"/>
  <c r="AO59" i="29"/>
  <c r="AN59" i="29"/>
  <c r="AP58" i="29"/>
  <c r="AO58" i="29"/>
  <c r="AN58" i="29"/>
  <c r="AP57" i="29"/>
  <c r="AO57" i="29"/>
  <c r="AN57" i="29"/>
  <c r="AI89" i="29"/>
  <c r="AH89" i="29"/>
  <c r="AG89" i="29"/>
  <c r="AI88" i="29"/>
  <c r="AH88" i="29"/>
  <c r="AG88" i="29"/>
  <c r="AI87" i="29"/>
  <c r="AH87" i="29"/>
  <c r="AG87" i="29"/>
  <c r="AI86" i="29"/>
  <c r="AH86" i="29"/>
  <c r="AG86" i="29"/>
  <c r="AI85" i="29"/>
  <c r="AH85" i="29"/>
  <c r="AG85" i="29"/>
  <c r="AI84" i="29"/>
  <c r="AH84" i="29"/>
  <c r="AG84" i="29"/>
  <c r="AI83" i="29"/>
  <c r="AH83" i="29"/>
  <c r="AG83" i="29"/>
  <c r="AI82" i="29"/>
  <c r="AH82" i="29"/>
  <c r="AG82" i="29"/>
  <c r="AI81" i="29"/>
  <c r="AH81" i="29"/>
  <c r="AG81" i="29"/>
  <c r="AI80" i="29"/>
  <c r="AH80" i="29"/>
  <c r="AG80" i="29"/>
  <c r="AI79" i="29"/>
  <c r="AH79" i="29"/>
  <c r="AG79" i="29"/>
  <c r="AI78" i="29"/>
  <c r="AH78" i="29"/>
  <c r="AG78" i="29"/>
  <c r="AI77" i="29"/>
  <c r="AH77" i="29"/>
  <c r="AG77" i="29"/>
  <c r="AI76" i="29"/>
  <c r="AH76" i="29"/>
  <c r="AG76" i="29"/>
  <c r="AI75" i="29"/>
  <c r="AH75" i="29"/>
  <c r="AG75" i="29"/>
  <c r="AI74" i="29"/>
  <c r="AH74" i="29"/>
  <c r="AG74" i="29"/>
  <c r="AI73" i="29"/>
  <c r="AH73" i="29"/>
  <c r="AG73" i="29"/>
  <c r="AI72" i="29"/>
  <c r="AH72" i="29"/>
  <c r="AG72" i="29"/>
  <c r="AI71" i="29"/>
  <c r="AH71" i="29"/>
  <c r="AG71" i="29"/>
  <c r="AI70" i="29"/>
  <c r="AH70" i="29"/>
  <c r="AG70" i="29"/>
  <c r="AI69" i="29"/>
  <c r="AH69" i="29"/>
  <c r="AG69" i="29"/>
  <c r="AI68" i="29"/>
  <c r="AH68" i="29"/>
  <c r="AG68" i="29"/>
  <c r="AI67" i="29"/>
  <c r="AH67" i="29"/>
  <c r="AG67" i="29"/>
  <c r="AI66" i="29"/>
  <c r="AH66" i="29"/>
  <c r="AG66" i="29"/>
  <c r="AI65" i="29"/>
  <c r="AH65" i="29"/>
  <c r="AG65" i="29"/>
  <c r="AI64" i="29"/>
  <c r="AH64" i="29"/>
  <c r="AG64" i="29"/>
  <c r="AI63" i="29"/>
  <c r="AH63" i="29"/>
  <c r="AG63" i="29"/>
  <c r="AI62" i="29"/>
  <c r="AH62" i="29"/>
  <c r="AG62" i="29"/>
  <c r="AI61" i="29"/>
  <c r="AH61" i="29"/>
  <c r="AG61" i="29"/>
  <c r="AI60" i="29"/>
  <c r="AH60" i="29"/>
  <c r="AG60" i="29"/>
  <c r="AI59" i="29"/>
  <c r="AH59" i="29"/>
  <c r="AG59" i="29"/>
  <c r="AI58" i="29"/>
  <c r="AH58" i="29"/>
  <c r="AG58" i="29"/>
  <c r="AI57" i="29"/>
  <c r="AH57" i="29"/>
  <c r="AG57" i="29"/>
  <c r="AB89" i="29"/>
  <c r="AA89" i="29"/>
  <c r="Z89" i="29"/>
  <c r="AB88" i="29"/>
  <c r="AA88" i="29"/>
  <c r="Z88" i="29"/>
  <c r="AB87" i="29"/>
  <c r="AA87" i="29"/>
  <c r="Z87" i="29"/>
  <c r="AB86" i="29"/>
  <c r="AA86" i="29"/>
  <c r="Z86" i="29"/>
  <c r="AB85" i="29"/>
  <c r="AA85" i="29"/>
  <c r="Z85" i="29"/>
  <c r="AB84" i="29"/>
  <c r="AA84" i="29"/>
  <c r="Z84" i="29"/>
  <c r="AB83" i="29"/>
  <c r="AA83" i="29"/>
  <c r="Z83" i="29"/>
  <c r="AB82" i="29"/>
  <c r="AA82" i="29"/>
  <c r="Z82" i="29"/>
  <c r="AB81" i="29"/>
  <c r="AA81" i="29"/>
  <c r="Z81" i="29"/>
  <c r="AB80" i="29"/>
  <c r="AA80" i="29"/>
  <c r="Z80" i="29"/>
  <c r="AB79" i="29"/>
  <c r="AA79" i="29"/>
  <c r="Z79" i="29"/>
  <c r="AB78" i="29"/>
  <c r="AA78" i="29"/>
  <c r="Z78" i="29"/>
  <c r="AB77" i="29"/>
  <c r="AA77" i="29"/>
  <c r="Z77" i="29"/>
  <c r="AB76" i="29"/>
  <c r="AA76" i="29"/>
  <c r="Z76" i="29"/>
  <c r="AB75" i="29"/>
  <c r="AA75" i="29"/>
  <c r="Z75" i="29"/>
  <c r="AB74" i="29"/>
  <c r="AA74" i="29"/>
  <c r="Z74" i="29"/>
  <c r="AB73" i="29"/>
  <c r="AA73" i="29"/>
  <c r="Z73" i="29"/>
  <c r="AB72" i="29"/>
  <c r="AA72" i="29"/>
  <c r="Z72" i="29"/>
  <c r="AB71" i="29"/>
  <c r="AA71" i="29"/>
  <c r="Z71" i="29"/>
  <c r="AB70" i="29"/>
  <c r="AA70" i="29"/>
  <c r="Z70" i="29"/>
  <c r="AB69" i="29"/>
  <c r="AA69" i="29"/>
  <c r="Z69" i="29"/>
  <c r="AB68" i="29"/>
  <c r="AA68" i="29"/>
  <c r="Z68" i="29"/>
  <c r="AB67" i="29"/>
  <c r="AA67" i="29"/>
  <c r="Z67" i="29"/>
  <c r="AB66" i="29"/>
  <c r="AA66" i="29"/>
  <c r="Z66" i="29"/>
  <c r="AB65" i="29"/>
  <c r="AA65" i="29"/>
  <c r="Z65" i="29"/>
  <c r="AB64" i="29"/>
  <c r="AA64" i="29"/>
  <c r="Z64" i="29"/>
  <c r="AB63" i="29"/>
  <c r="AA63" i="29"/>
  <c r="Z63" i="29"/>
  <c r="AB62" i="29"/>
  <c r="AA62" i="29"/>
  <c r="Z62" i="29"/>
  <c r="AB61" i="29"/>
  <c r="AA61" i="29"/>
  <c r="Z61" i="29"/>
  <c r="AB60" i="29"/>
  <c r="AA60" i="29"/>
  <c r="Z60" i="29"/>
  <c r="AB59" i="29"/>
  <c r="AA59" i="29"/>
  <c r="Z59" i="29"/>
  <c r="AB58" i="29"/>
  <c r="AA58" i="29"/>
  <c r="Z58" i="29"/>
  <c r="AB57" i="29"/>
  <c r="AA57" i="29"/>
  <c r="Z57" i="29"/>
  <c r="AP89" i="28"/>
  <c r="AO89" i="28"/>
  <c r="AN89" i="28"/>
  <c r="AP88" i="28"/>
  <c r="AO88" i="28"/>
  <c r="AN88" i="28"/>
  <c r="AP87" i="28"/>
  <c r="AO87" i="28"/>
  <c r="AN87" i="28"/>
  <c r="AP86" i="28"/>
  <c r="AO86" i="28"/>
  <c r="AN86" i="28"/>
  <c r="AP85" i="28"/>
  <c r="AO85" i="28"/>
  <c r="AN85" i="28"/>
  <c r="AP84" i="28"/>
  <c r="AO84" i="28"/>
  <c r="AN84" i="28"/>
  <c r="AP83" i="28"/>
  <c r="AO83" i="28"/>
  <c r="AN83" i="28"/>
  <c r="AP82" i="28"/>
  <c r="AO82" i="28"/>
  <c r="AN82" i="28"/>
  <c r="AP81" i="28"/>
  <c r="AO81" i="28"/>
  <c r="AN81" i="28"/>
  <c r="AP80" i="28"/>
  <c r="AO80" i="28"/>
  <c r="AN80" i="28"/>
  <c r="AP79" i="28"/>
  <c r="AO79" i="28"/>
  <c r="AN79" i="28"/>
  <c r="AP78" i="28"/>
  <c r="AO78" i="28"/>
  <c r="AN78" i="28"/>
  <c r="AP77" i="28"/>
  <c r="AO77" i="28"/>
  <c r="AN77" i="28"/>
  <c r="AP76" i="28"/>
  <c r="AO76" i="28"/>
  <c r="AN76" i="28"/>
  <c r="AP75" i="28"/>
  <c r="AO75" i="28"/>
  <c r="AN75" i="28"/>
  <c r="AP74" i="28"/>
  <c r="AO74" i="28"/>
  <c r="AN74" i="28"/>
  <c r="AP73" i="28"/>
  <c r="AO73" i="28"/>
  <c r="AN73" i="28"/>
  <c r="AP72" i="28"/>
  <c r="AO72" i="28"/>
  <c r="AN72" i="28"/>
  <c r="AP71" i="28"/>
  <c r="AO71" i="28"/>
  <c r="AN71" i="28"/>
  <c r="AP70" i="28"/>
  <c r="AO70" i="28"/>
  <c r="AN70" i="28"/>
  <c r="AP69" i="28"/>
  <c r="AO69" i="28"/>
  <c r="AN69" i="28"/>
  <c r="AP68" i="28"/>
  <c r="AO68" i="28"/>
  <c r="AN68" i="28"/>
  <c r="AP67" i="28"/>
  <c r="AO67" i="28"/>
  <c r="AN67" i="28"/>
  <c r="AP66" i="28"/>
  <c r="AO66" i="28"/>
  <c r="AN66" i="28"/>
  <c r="AP65" i="28"/>
  <c r="AO65" i="28"/>
  <c r="AN65" i="28"/>
  <c r="AP64" i="28"/>
  <c r="AO64" i="28"/>
  <c r="AN64" i="28"/>
  <c r="AP63" i="28"/>
  <c r="AO63" i="28"/>
  <c r="AN63" i="28"/>
  <c r="AP62" i="28"/>
  <c r="AO62" i="28"/>
  <c r="AN62" i="28"/>
  <c r="AP61" i="28"/>
  <c r="AO61" i="28"/>
  <c r="AN61" i="28"/>
  <c r="AP60" i="28"/>
  <c r="AO60" i="28"/>
  <c r="AN60" i="28"/>
  <c r="AP59" i="28"/>
  <c r="AO59" i="28"/>
  <c r="AN59" i="28"/>
  <c r="AP58" i="28"/>
  <c r="AO58" i="28"/>
  <c r="AN58" i="28"/>
  <c r="AP57" i="28"/>
  <c r="AO57" i="28"/>
  <c r="AN57" i="28"/>
  <c r="AI89" i="28"/>
  <c r="AH89" i="28"/>
  <c r="AG89" i="28"/>
  <c r="AI88" i="28"/>
  <c r="AH88" i="28"/>
  <c r="AG88" i="28"/>
  <c r="AI87" i="28"/>
  <c r="AH87" i="28"/>
  <c r="AG87" i="28"/>
  <c r="AI86" i="28"/>
  <c r="AH86" i="28"/>
  <c r="AG86" i="28"/>
  <c r="AI85" i="28"/>
  <c r="AH85" i="28"/>
  <c r="AG85" i="28"/>
  <c r="AI84" i="28"/>
  <c r="AH84" i="28"/>
  <c r="AG84" i="28"/>
  <c r="AI83" i="28"/>
  <c r="AH83" i="28"/>
  <c r="AG83" i="28"/>
  <c r="AI82" i="28"/>
  <c r="AH82" i="28"/>
  <c r="AG82" i="28"/>
  <c r="AI81" i="28"/>
  <c r="AH81" i="28"/>
  <c r="AG81" i="28"/>
  <c r="AI80" i="28"/>
  <c r="AH80" i="28"/>
  <c r="AG80" i="28"/>
  <c r="AI79" i="28"/>
  <c r="AH79" i="28"/>
  <c r="AG79" i="28"/>
  <c r="AI78" i="28"/>
  <c r="AH78" i="28"/>
  <c r="AG78" i="28"/>
  <c r="AI77" i="28"/>
  <c r="AH77" i="28"/>
  <c r="AG77" i="28"/>
  <c r="AI76" i="28"/>
  <c r="AH76" i="28"/>
  <c r="AG76" i="28"/>
  <c r="AI75" i="28"/>
  <c r="AH75" i="28"/>
  <c r="AG75" i="28"/>
  <c r="AI74" i="28"/>
  <c r="AH74" i="28"/>
  <c r="AG74" i="28"/>
  <c r="AI73" i="28"/>
  <c r="AH73" i="28"/>
  <c r="AG73" i="28"/>
  <c r="AI72" i="28"/>
  <c r="AH72" i="28"/>
  <c r="AG72" i="28"/>
  <c r="AI71" i="28"/>
  <c r="AH71" i="28"/>
  <c r="AG71" i="28"/>
  <c r="AI70" i="28"/>
  <c r="AH70" i="28"/>
  <c r="AG70" i="28"/>
  <c r="AI69" i="28"/>
  <c r="AH69" i="28"/>
  <c r="AG69" i="28"/>
  <c r="AI68" i="28"/>
  <c r="AH68" i="28"/>
  <c r="AG68" i="28"/>
  <c r="AI67" i="28"/>
  <c r="AH67" i="28"/>
  <c r="AG67" i="28"/>
  <c r="AI66" i="28"/>
  <c r="AH66" i="28"/>
  <c r="AG66" i="28"/>
  <c r="AI65" i="28"/>
  <c r="AH65" i="28"/>
  <c r="AG65" i="28"/>
  <c r="AI64" i="28"/>
  <c r="AH64" i="28"/>
  <c r="AG64" i="28"/>
  <c r="AI63" i="28"/>
  <c r="AH63" i="28"/>
  <c r="AG63" i="28"/>
  <c r="AI62" i="28"/>
  <c r="AH62" i="28"/>
  <c r="AG62" i="28"/>
  <c r="AI61" i="28"/>
  <c r="AH61" i="28"/>
  <c r="AG61" i="28"/>
  <c r="AI60" i="28"/>
  <c r="AH60" i="28"/>
  <c r="AG60" i="28"/>
  <c r="AI59" i="28"/>
  <c r="AH59" i="28"/>
  <c r="AG59" i="28"/>
  <c r="AI58" i="28"/>
  <c r="AH58" i="28"/>
  <c r="AG58" i="28"/>
  <c r="AI57" i="28"/>
  <c r="AH57" i="28"/>
  <c r="AG57" i="28"/>
  <c r="AB89" i="28"/>
  <c r="AA89" i="28"/>
  <c r="Z89" i="28"/>
  <c r="AB88" i="28"/>
  <c r="AA88" i="28"/>
  <c r="Z88" i="28"/>
  <c r="AB87" i="28"/>
  <c r="AA87" i="28"/>
  <c r="Z87" i="28"/>
  <c r="AB86" i="28"/>
  <c r="AA86" i="28"/>
  <c r="Z86" i="28"/>
  <c r="AB85" i="28"/>
  <c r="AA85" i="28"/>
  <c r="Z85" i="28"/>
  <c r="AB84" i="28"/>
  <c r="AA84" i="28"/>
  <c r="Z84" i="28"/>
  <c r="AB83" i="28"/>
  <c r="AA83" i="28"/>
  <c r="Z83" i="28"/>
  <c r="AB82" i="28"/>
  <c r="AA82" i="28"/>
  <c r="Z82" i="28"/>
  <c r="AB81" i="28"/>
  <c r="AA81" i="28"/>
  <c r="Z81" i="28"/>
  <c r="AB80" i="28"/>
  <c r="AA80" i="28"/>
  <c r="Z80" i="28"/>
  <c r="AB79" i="28"/>
  <c r="AA79" i="28"/>
  <c r="Z79" i="28"/>
  <c r="AB78" i="28"/>
  <c r="AA78" i="28"/>
  <c r="Z78" i="28"/>
  <c r="AB77" i="28"/>
  <c r="AA77" i="28"/>
  <c r="Z77" i="28"/>
  <c r="AB76" i="28"/>
  <c r="AA76" i="28"/>
  <c r="Z76" i="28"/>
  <c r="AB75" i="28"/>
  <c r="AA75" i="28"/>
  <c r="Z75" i="28"/>
  <c r="AB74" i="28"/>
  <c r="AA74" i="28"/>
  <c r="Z74" i="28"/>
  <c r="AB73" i="28"/>
  <c r="AA73" i="28"/>
  <c r="Z73" i="28"/>
  <c r="AB72" i="28"/>
  <c r="AA72" i="28"/>
  <c r="Z72" i="28"/>
  <c r="AB71" i="28"/>
  <c r="AA71" i="28"/>
  <c r="Z71" i="28"/>
  <c r="AB70" i="28"/>
  <c r="AA70" i="28"/>
  <c r="Z70" i="28"/>
  <c r="AB69" i="28"/>
  <c r="AA69" i="28"/>
  <c r="Z69" i="28"/>
  <c r="AB68" i="28"/>
  <c r="AA68" i="28"/>
  <c r="Z68" i="28"/>
  <c r="AB67" i="28"/>
  <c r="AA67" i="28"/>
  <c r="Z67" i="28"/>
  <c r="AB66" i="28"/>
  <c r="AA66" i="28"/>
  <c r="Z66" i="28"/>
  <c r="AB65" i="28"/>
  <c r="AA65" i="28"/>
  <c r="Z65" i="28"/>
  <c r="AB64" i="28"/>
  <c r="AA64" i="28"/>
  <c r="Z64" i="28"/>
  <c r="AB63" i="28"/>
  <c r="AA63" i="28"/>
  <c r="Z63" i="28"/>
  <c r="AB62" i="28"/>
  <c r="AA62" i="28"/>
  <c r="Z62" i="28"/>
  <c r="AB61" i="28"/>
  <c r="AA61" i="28"/>
  <c r="Z61" i="28"/>
  <c r="AB60" i="28"/>
  <c r="AA60" i="28"/>
  <c r="Z60" i="28"/>
  <c r="AB59" i="28"/>
  <c r="AA59" i="28"/>
  <c r="Z59" i="28"/>
  <c r="AB58" i="28"/>
  <c r="AA58" i="28"/>
  <c r="Z58" i="28"/>
  <c r="AB57" i="28"/>
  <c r="AA57" i="28"/>
  <c r="Z57" i="28"/>
  <c r="AP89" i="27"/>
  <c r="AO89" i="27"/>
  <c r="AN89" i="27"/>
  <c r="AP88" i="27"/>
  <c r="AO88" i="27"/>
  <c r="AN88" i="27"/>
  <c r="AP87" i="27"/>
  <c r="AO87" i="27"/>
  <c r="AN87" i="27"/>
  <c r="AP86" i="27"/>
  <c r="AO86" i="27"/>
  <c r="AN86" i="27"/>
  <c r="AP85" i="27"/>
  <c r="AO85" i="27"/>
  <c r="AN85" i="27"/>
  <c r="AP84" i="27"/>
  <c r="AO84" i="27"/>
  <c r="AN84" i="27"/>
  <c r="AP83" i="27"/>
  <c r="AO83" i="27"/>
  <c r="AN83" i="27"/>
  <c r="AP82" i="27"/>
  <c r="AO82" i="27"/>
  <c r="AN82" i="27"/>
  <c r="AP81" i="27"/>
  <c r="AO81" i="27"/>
  <c r="AN81" i="27"/>
  <c r="AP80" i="27"/>
  <c r="AO80" i="27"/>
  <c r="AN80" i="27"/>
  <c r="AP79" i="27"/>
  <c r="AO79" i="27"/>
  <c r="AN79" i="27"/>
  <c r="AP78" i="27"/>
  <c r="AO78" i="27"/>
  <c r="AN78" i="27"/>
  <c r="AP77" i="27"/>
  <c r="AO77" i="27"/>
  <c r="AN77" i="27"/>
  <c r="AP76" i="27"/>
  <c r="AO76" i="27"/>
  <c r="AN76" i="27"/>
  <c r="AP75" i="27"/>
  <c r="AO75" i="27"/>
  <c r="AN75" i="27"/>
  <c r="AP74" i="27"/>
  <c r="AO74" i="27"/>
  <c r="AN74" i="27"/>
  <c r="AP73" i="27"/>
  <c r="AO73" i="27"/>
  <c r="AN73" i="27"/>
  <c r="AP72" i="27"/>
  <c r="AO72" i="27"/>
  <c r="AN72" i="27"/>
  <c r="AP71" i="27"/>
  <c r="AO71" i="27"/>
  <c r="AN71" i="27"/>
  <c r="AP70" i="27"/>
  <c r="AO70" i="27"/>
  <c r="AN70" i="27"/>
  <c r="AP69" i="27"/>
  <c r="AO69" i="27"/>
  <c r="AN69" i="27"/>
  <c r="AP68" i="27"/>
  <c r="AO68" i="27"/>
  <c r="AN68" i="27"/>
  <c r="AP67" i="27"/>
  <c r="AO67" i="27"/>
  <c r="AN67" i="27"/>
  <c r="AP66" i="27"/>
  <c r="AO66" i="27"/>
  <c r="AN66" i="27"/>
  <c r="AP65" i="27"/>
  <c r="AO65" i="27"/>
  <c r="AN65" i="27"/>
  <c r="AP64" i="27"/>
  <c r="AO64" i="27"/>
  <c r="AN64" i="27"/>
  <c r="AP63" i="27"/>
  <c r="AO63" i="27"/>
  <c r="AN63" i="27"/>
  <c r="AP62" i="27"/>
  <c r="AO62" i="27"/>
  <c r="AN62" i="27"/>
  <c r="AP61" i="27"/>
  <c r="AO61" i="27"/>
  <c r="AN61" i="27"/>
  <c r="AP60" i="27"/>
  <c r="AO60" i="27"/>
  <c r="AN60" i="27"/>
  <c r="AP59" i="27"/>
  <c r="AO59" i="27"/>
  <c r="AN59" i="27"/>
  <c r="AP58" i="27"/>
  <c r="AO58" i="27"/>
  <c r="AN58" i="27"/>
  <c r="AP57" i="27"/>
  <c r="AO57" i="27"/>
  <c r="AN57" i="27"/>
  <c r="AI89" i="27"/>
  <c r="AH89" i="27"/>
  <c r="AG89" i="27"/>
  <c r="AI88" i="27"/>
  <c r="AH88" i="27"/>
  <c r="AG88" i="27"/>
  <c r="AI87" i="27"/>
  <c r="AH87" i="27"/>
  <c r="AG87" i="27"/>
  <c r="AI86" i="27"/>
  <c r="AH86" i="27"/>
  <c r="AG86" i="27"/>
  <c r="AI85" i="27"/>
  <c r="AH85" i="27"/>
  <c r="AG85" i="27"/>
  <c r="AI84" i="27"/>
  <c r="AH84" i="27"/>
  <c r="AG84" i="27"/>
  <c r="AI83" i="27"/>
  <c r="AH83" i="27"/>
  <c r="AG83" i="27"/>
  <c r="AI82" i="27"/>
  <c r="AH82" i="27"/>
  <c r="AG82" i="27"/>
  <c r="AI81" i="27"/>
  <c r="AH81" i="27"/>
  <c r="AG81" i="27"/>
  <c r="AI80" i="27"/>
  <c r="AH80" i="27"/>
  <c r="AG80" i="27"/>
  <c r="AI79" i="27"/>
  <c r="AH79" i="27"/>
  <c r="AG79" i="27"/>
  <c r="AI78" i="27"/>
  <c r="AH78" i="27"/>
  <c r="AG78" i="27"/>
  <c r="AI77" i="27"/>
  <c r="AH77" i="27"/>
  <c r="AG77" i="27"/>
  <c r="AI76" i="27"/>
  <c r="AH76" i="27"/>
  <c r="AG76" i="27"/>
  <c r="AI75" i="27"/>
  <c r="AH75" i="27"/>
  <c r="AG75" i="27"/>
  <c r="AI74" i="27"/>
  <c r="AH74" i="27"/>
  <c r="AG74" i="27"/>
  <c r="AI73" i="27"/>
  <c r="AH73" i="27"/>
  <c r="AG73" i="27"/>
  <c r="AI72" i="27"/>
  <c r="AH72" i="27"/>
  <c r="AG72" i="27"/>
  <c r="AI71" i="27"/>
  <c r="AH71" i="27"/>
  <c r="AG71" i="27"/>
  <c r="AI70" i="27"/>
  <c r="AH70" i="27"/>
  <c r="AG70" i="27"/>
  <c r="AI69" i="27"/>
  <c r="AH69" i="27"/>
  <c r="AG69" i="27"/>
  <c r="AI68" i="27"/>
  <c r="AH68" i="27"/>
  <c r="AG68" i="27"/>
  <c r="AI67" i="27"/>
  <c r="AH67" i="27"/>
  <c r="AG67" i="27"/>
  <c r="AI66" i="27"/>
  <c r="AH66" i="27"/>
  <c r="AG66" i="27"/>
  <c r="AI65" i="27"/>
  <c r="AH65" i="27"/>
  <c r="AG65" i="27"/>
  <c r="AI64" i="27"/>
  <c r="AH64" i="27"/>
  <c r="AG64" i="27"/>
  <c r="AI63" i="27"/>
  <c r="AH63" i="27"/>
  <c r="AG63" i="27"/>
  <c r="AI62" i="27"/>
  <c r="AH62" i="27"/>
  <c r="AG62" i="27"/>
  <c r="AI61" i="27"/>
  <c r="AH61" i="27"/>
  <c r="AG61" i="27"/>
  <c r="AI60" i="27"/>
  <c r="AH60" i="27"/>
  <c r="AG60" i="27"/>
  <c r="AI59" i="27"/>
  <c r="AH59" i="27"/>
  <c r="AG59" i="27"/>
  <c r="AI58" i="27"/>
  <c r="AH58" i="27"/>
  <c r="AG58" i="27"/>
  <c r="AI57" i="27"/>
  <c r="AH57" i="27"/>
  <c r="AG57" i="27"/>
  <c r="AB89" i="27"/>
  <c r="AA89" i="27"/>
  <c r="Z89" i="27"/>
  <c r="AB88" i="27"/>
  <c r="AA88" i="27"/>
  <c r="Z88" i="27"/>
  <c r="AB87" i="27"/>
  <c r="AA87" i="27"/>
  <c r="Z87" i="27"/>
  <c r="AB86" i="27"/>
  <c r="AA86" i="27"/>
  <c r="Z86" i="27"/>
  <c r="AB85" i="27"/>
  <c r="AA85" i="27"/>
  <c r="Z85" i="27"/>
  <c r="AB84" i="27"/>
  <c r="AA84" i="27"/>
  <c r="Z84" i="27"/>
  <c r="AB83" i="27"/>
  <c r="AA83" i="27"/>
  <c r="Z83" i="27"/>
  <c r="AB82" i="27"/>
  <c r="AA82" i="27"/>
  <c r="Z82" i="27"/>
  <c r="AB81" i="27"/>
  <c r="AA81" i="27"/>
  <c r="Z81" i="27"/>
  <c r="AB80" i="27"/>
  <c r="AA80" i="27"/>
  <c r="Z80" i="27"/>
  <c r="AB79" i="27"/>
  <c r="AA79" i="27"/>
  <c r="Z79" i="27"/>
  <c r="AB78" i="27"/>
  <c r="AA78" i="27"/>
  <c r="Z78" i="27"/>
  <c r="AB77" i="27"/>
  <c r="AA77" i="27"/>
  <c r="Z77" i="27"/>
  <c r="AB76" i="27"/>
  <c r="AA76" i="27"/>
  <c r="Z76" i="27"/>
  <c r="AB75" i="27"/>
  <c r="AA75" i="27"/>
  <c r="Z75" i="27"/>
  <c r="AB74" i="27"/>
  <c r="AA74" i="27"/>
  <c r="Z74" i="27"/>
  <c r="AB73" i="27"/>
  <c r="AA73" i="27"/>
  <c r="Z73" i="27"/>
  <c r="AB72" i="27"/>
  <c r="AA72" i="27"/>
  <c r="Z72" i="27"/>
  <c r="AB71" i="27"/>
  <c r="AA71" i="27"/>
  <c r="Z71" i="27"/>
  <c r="AB70" i="27"/>
  <c r="AA70" i="27"/>
  <c r="Z70" i="27"/>
  <c r="AB69" i="27"/>
  <c r="AA69" i="27"/>
  <c r="Z69" i="27"/>
  <c r="AB68" i="27"/>
  <c r="AA68" i="27"/>
  <c r="Z68" i="27"/>
  <c r="AB67" i="27"/>
  <c r="AA67" i="27"/>
  <c r="Z67" i="27"/>
  <c r="AB66" i="27"/>
  <c r="AA66" i="27"/>
  <c r="Z66" i="27"/>
  <c r="AB65" i="27"/>
  <c r="AA65" i="27"/>
  <c r="Z65" i="27"/>
  <c r="AB64" i="27"/>
  <c r="AA64" i="27"/>
  <c r="Z64" i="27"/>
  <c r="AB63" i="27"/>
  <c r="AA63" i="27"/>
  <c r="Z63" i="27"/>
  <c r="AB62" i="27"/>
  <c r="AA62" i="27"/>
  <c r="Z62" i="27"/>
  <c r="AB61" i="27"/>
  <c r="AA61" i="27"/>
  <c r="Z61" i="27"/>
  <c r="AB60" i="27"/>
  <c r="AA60" i="27"/>
  <c r="Z60" i="27"/>
  <c r="AB59" i="27"/>
  <c r="AA59" i="27"/>
  <c r="Z59" i="27"/>
  <c r="AB58" i="27"/>
  <c r="AA58" i="27"/>
  <c r="Z58" i="27"/>
  <c r="AB57" i="27"/>
  <c r="AA57" i="27"/>
  <c r="Z57" i="27"/>
  <c r="AP89" i="17"/>
  <c r="AO89" i="17"/>
  <c r="AN89" i="17"/>
  <c r="AP88" i="17"/>
  <c r="AO88" i="17"/>
  <c r="AN88" i="17"/>
  <c r="AP87" i="17"/>
  <c r="AO87" i="17"/>
  <c r="AN87" i="17"/>
  <c r="AP86" i="17"/>
  <c r="AO86" i="17"/>
  <c r="AN86" i="17"/>
  <c r="AP85" i="17"/>
  <c r="AO85" i="17"/>
  <c r="AN85" i="17"/>
  <c r="AP84" i="17"/>
  <c r="AO84" i="17"/>
  <c r="AN84" i="17"/>
  <c r="AP83" i="17"/>
  <c r="AO83" i="17"/>
  <c r="AN83" i="17"/>
  <c r="AP82" i="17"/>
  <c r="AO82" i="17"/>
  <c r="AN82" i="17"/>
  <c r="AP81" i="17"/>
  <c r="AO81" i="17"/>
  <c r="AN81" i="17"/>
  <c r="AP80" i="17"/>
  <c r="AO80" i="17"/>
  <c r="AN80" i="17"/>
  <c r="AP79" i="17"/>
  <c r="AO79" i="17"/>
  <c r="AN79" i="17"/>
  <c r="AP78" i="17"/>
  <c r="AO78" i="17"/>
  <c r="AN78" i="17"/>
  <c r="AP77" i="17"/>
  <c r="AO77" i="17"/>
  <c r="AN77" i="17"/>
  <c r="AP76" i="17"/>
  <c r="AO76" i="17"/>
  <c r="AN76" i="17"/>
  <c r="AP75" i="17"/>
  <c r="AO75" i="17"/>
  <c r="AN75" i="17"/>
  <c r="AP74" i="17"/>
  <c r="AO74" i="17"/>
  <c r="AN74" i="17"/>
  <c r="AP73" i="17"/>
  <c r="AO73" i="17"/>
  <c r="AN73" i="17"/>
  <c r="AP72" i="17"/>
  <c r="AO72" i="17"/>
  <c r="AN72" i="17"/>
  <c r="AP71" i="17"/>
  <c r="AO71" i="17"/>
  <c r="AN71" i="17"/>
  <c r="AP70" i="17"/>
  <c r="AO70" i="17"/>
  <c r="AN70" i="17"/>
  <c r="AP69" i="17"/>
  <c r="AO69" i="17"/>
  <c r="AN69" i="17"/>
  <c r="AP68" i="17"/>
  <c r="AO68" i="17"/>
  <c r="AN68" i="17"/>
  <c r="AP67" i="17"/>
  <c r="AO67" i="17"/>
  <c r="AN67" i="17"/>
  <c r="AP66" i="17"/>
  <c r="AO66" i="17"/>
  <c r="AN66" i="17"/>
  <c r="AP65" i="17"/>
  <c r="AO65" i="17"/>
  <c r="AN65" i="17"/>
  <c r="AP64" i="17"/>
  <c r="AO64" i="17"/>
  <c r="AN64" i="17"/>
  <c r="AP63" i="17"/>
  <c r="AO63" i="17"/>
  <c r="AN63" i="17"/>
  <c r="AP62" i="17"/>
  <c r="AO62" i="17"/>
  <c r="AN62" i="17"/>
  <c r="AP61" i="17"/>
  <c r="AO61" i="17"/>
  <c r="AN61" i="17"/>
  <c r="AP60" i="17"/>
  <c r="AO60" i="17"/>
  <c r="AN60" i="17"/>
  <c r="AP59" i="17"/>
  <c r="AO59" i="17"/>
  <c r="AN59" i="17"/>
  <c r="AP58" i="17"/>
  <c r="AO58" i="17"/>
  <c r="AN58" i="17"/>
  <c r="AP57" i="17"/>
  <c r="AO57" i="17"/>
  <c r="AN57" i="17"/>
  <c r="AI89" i="17"/>
  <c r="AH89" i="17"/>
  <c r="AG89" i="17"/>
  <c r="AI88" i="17"/>
  <c r="AH88" i="17"/>
  <c r="AG88" i="17"/>
  <c r="AI87" i="17"/>
  <c r="AH87" i="17"/>
  <c r="AG87" i="17"/>
  <c r="AI86" i="17"/>
  <c r="AH86" i="17"/>
  <c r="AG86" i="17"/>
  <c r="AI85" i="17"/>
  <c r="AH85" i="17"/>
  <c r="AG85" i="17"/>
  <c r="AI84" i="17"/>
  <c r="AH84" i="17"/>
  <c r="AG84" i="17"/>
  <c r="AI83" i="17"/>
  <c r="AH83" i="17"/>
  <c r="AG83" i="17"/>
  <c r="AI82" i="17"/>
  <c r="AH82" i="17"/>
  <c r="AG82" i="17"/>
  <c r="AI81" i="17"/>
  <c r="AH81" i="17"/>
  <c r="AG81" i="17"/>
  <c r="AI80" i="17"/>
  <c r="AH80" i="17"/>
  <c r="AG80" i="17"/>
  <c r="AI79" i="17"/>
  <c r="AH79" i="17"/>
  <c r="AG79" i="17"/>
  <c r="AI78" i="17"/>
  <c r="AH78" i="17"/>
  <c r="AG78" i="17"/>
  <c r="AI77" i="17"/>
  <c r="AH77" i="17"/>
  <c r="AG77" i="17"/>
  <c r="AI76" i="17"/>
  <c r="AH76" i="17"/>
  <c r="AG76" i="17"/>
  <c r="AI75" i="17"/>
  <c r="AH75" i="17"/>
  <c r="AG75" i="17"/>
  <c r="AI74" i="17"/>
  <c r="AH74" i="17"/>
  <c r="AG74" i="17"/>
  <c r="AI73" i="17"/>
  <c r="AH73" i="17"/>
  <c r="AG73" i="17"/>
  <c r="AI72" i="17"/>
  <c r="AH72" i="17"/>
  <c r="AG72" i="17"/>
  <c r="AI71" i="17"/>
  <c r="AH71" i="17"/>
  <c r="AG71" i="17"/>
  <c r="AI70" i="17"/>
  <c r="AH70" i="17"/>
  <c r="AG70" i="17"/>
  <c r="AI69" i="17"/>
  <c r="AH69" i="17"/>
  <c r="AG69" i="17"/>
  <c r="AI68" i="17"/>
  <c r="AH68" i="17"/>
  <c r="AG68" i="17"/>
  <c r="AI67" i="17"/>
  <c r="AH67" i="17"/>
  <c r="AG67" i="17"/>
  <c r="AI66" i="17"/>
  <c r="AH66" i="17"/>
  <c r="AG66" i="17"/>
  <c r="AI65" i="17"/>
  <c r="AH65" i="17"/>
  <c r="AG65" i="17"/>
  <c r="AI64" i="17"/>
  <c r="AH64" i="17"/>
  <c r="AG64" i="17"/>
  <c r="AI63" i="17"/>
  <c r="AH63" i="17"/>
  <c r="AG63" i="17"/>
  <c r="AI62" i="17"/>
  <c r="AH62" i="17"/>
  <c r="AG62" i="17"/>
  <c r="AI61" i="17"/>
  <c r="AH61" i="17"/>
  <c r="AG61" i="17"/>
  <c r="AI60" i="17"/>
  <c r="AH60" i="17"/>
  <c r="AG60" i="17"/>
  <c r="AI59" i="17"/>
  <c r="AH59" i="17"/>
  <c r="AG59" i="17"/>
  <c r="AI58" i="17"/>
  <c r="AH58" i="17"/>
  <c r="AG58" i="17"/>
  <c r="AI57" i="17"/>
  <c r="AH57" i="17"/>
  <c r="AG57" i="17"/>
  <c r="AB89" i="17"/>
  <c r="AA89" i="17"/>
  <c r="Z89" i="17"/>
  <c r="AB88" i="17"/>
  <c r="AA88" i="17"/>
  <c r="Z88" i="17"/>
  <c r="AB87" i="17"/>
  <c r="AA87" i="17"/>
  <c r="Z87" i="17"/>
  <c r="AB86" i="17"/>
  <c r="AA86" i="17"/>
  <c r="Z86" i="17"/>
  <c r="AB85" i="17"/>
  <c r="AA85" i="17"/>
  <c r="Z85" i="17"/>
  <c r="AB84" i="17"/>
  <c r="AA84" i="17"/>
  <c r="Z84" i="17"/>
  <c r="AB83" i="17"/>
  <c r="AA83" i="17"/>
  <c r="Z83" i="17"/>
  <c r="AB82" i="17"/>
  <c r="AA82" i="17"/>
  <c r="Z82" i="17"/>
  <c r="AB81" i="17"/>
  <c r="AA81" i="17"/>
  <c r="Z81" i="17"/>
  <c r="AB80" i="17"/>
  <c r="AA80" i="17"/>
  <c r="Z80" i="17"/>
  <c r="AB79" i="17"/>
  <c r="AA79" i="17"/>
  <c r="Z79" i="17"/>
  <c r="AB78" i="17"/>
  <c r="AA78" i="17"/>
  <c r="Z78" i="17"/>
  <c r="AB77" i="17"/>
  <c r="AA77" i="17"/>
  <c r="Z77" i="17"/>
  <c r="AB76" i="17"/>
  <c r="AA76" i="17"/>
  <c r="Z76" i="17"/>
  <c r="AB75" i="17"/>
  <c r="AA75" i="17"/>
  <c r="Z75" i="17"/>
  <c r="AB74" i="17"/>
  <c r="AA74" i="17"/>
  <c r="Z74" i="17"/>
  <c r="AB73" i="17"/>
  <c r="AA73" i="17"/>
  <c r="Z73" i="17"/>
  <c r="AB72" i="17"/>
  <c r="AA72" i="17"/>
  <c r="Z72" i="17"/>
  <c r="AB71" i="17"/>
  <c r="AA71" i="17"/>
  <c r="Z71" i="17"/>
  <c r="AB70" i="17"/>
  <c r="AA70" i="17"/>
  <c r="Z70" i="17"/>
  <c r="AB69" i="17"/>
  <c r="AA69" i="17"/>
  <c r="Z69" i="17"/>
  <c r="AB68" i="17"/>
  <c r="AA68" i="17"/>
  <c r="Z68" i="17"/>
  <c r="AB67" i="17"/>
  <c r="AA67" i="17"/>
  <c r="Z67" i="17"/>
  <c r="AB66" i="17"/>
  <c r="AA66" i="17"/>
  <c r="Z66" i="17"/>
  <c r="AB65" i="17"/>
  <c r="AA65" i="17"/>
  <c r="Z65" i="17"/>
  <c r="AB64" i="17"/>
  <c r="AA64" i="17"/>
  <c r="Z64" i="17"/>
  <c r="AB63" i="17"/>
  <c r="AA63" i="17"/>
  <c r="Z63" i="17"/>
  <c r="AB62" i="17"/>
  <c r="AA62" i="17"/>
  <c r="Z62" i="17"/>
  <c r="AB61" i="17"/>
  <c r="AA61" i="17"/>
  <c r="Z61" i="17"/>
  <c r="AB60" i="17"/>
  <c r="AA60" i="17"/>
  <c r="Z60" i="17"/>
  <c r="AB59" i="17"/>
  <c r="AA59" i="17"/>
  <c r="Z59" i="17"/>
  <c r="AB58" i="17"/>
  <c r="AA58" i="17"/>
  <c r="Z58" i="17"/>
  <c r="AB57" i="17"/>
  <c r="AA57" i="17"/>
  <c r="Z57" i="17"/>
  <c r="G27" i="18"/>
  <c r="BI50" i="17"/>
  <c r="BI49" i="17"/>
  <c r="BI48" i="17"/>
  <c r="BI47" i="17"/>
  <c r="BI46" i="17"/>
  <c r="BI45" i="17"/>
  <c r="BI44" i="17"/>
  <c r="BI43" i="17"/>
  <c r="BI42" i="17"/>
  <c r="BI41" i="17"/>
  <c r="BI40" i="17"/>
  <c r="BI39" i="17"/>
  <c r="BI38" i="17"/>
  <c r="BI37" i="17"/>
  <c r="BI36" i="17"/>
  <c r="BI35" i="17"/>
  <c r="BI34" i="17"/>
  <c r="BI33" i="17"/>
  <c r="BI32" i="17"/>
  <c r="BI31" i="17"/>
  <c r="BI30" i="17"/>
  <c r="BI29" i="17"/>
  <c r="BI28" i="17"/>
  <c r="BI27" i="17"/>
  <c r="BI26" i="17"/>
  <c r="BI25" i="17"/>
  <c r="BI24" i="17"/>
  <c r="BI23" i="17"/>
  <c r="BI22" i="17"/>
  <c r="BI21" i="17"/>
  <c r="BI20" i="17"/>
  <c r="BI19" i="17"/>
  <c r="BI18" i="17"/>
  <c r="I1" i="16"/>
  <c r="BK50" i="29"/>
  <c r="BJ50" i="29"/>
  <c r="BI50" i="29"/>
  <c r="BK49" i="29"/>
  <c r="BJ49" i="29"/>
  <c r="BI49" i="29"/>
  <c r="BK48" i="29"/>
  <c r="BJ48" i="29"/>
  <c r="BI48" i="29"/>
  <c r="BK47" i="29"/>
  <c r="BJ47" i="29"/>
  <c r="BI47" i="29"/>
  <c r="BK46" i="29"/>
  <c r="BJ46" i="29"/>
  <c r="BI46" i="29"/>
  <c r="BK45" i="29"/>
  <c r="BJ45" i="29"/>
  <c r="BI45" i="29"/>
  <c r="BK44" i="29"/>
  <c r="BJ44" i="29"/>
  <c r="BI44" i="29"/>
  <c r="BK43" i="29"/>
  <c r="BJ43" i="29"/>
  <c r="BI43" i="29"/>
  <c r="BK42" i="29"/>
  <c r="BJ42" i="29"/>
  <c r="BI42" i="29"/>
  <c r="BK41" i="29"/>
  <c r="BJ41" i="29"/>
  <c r="BI41" i="29"/>
  <c r="BK40" i="29"/>
  <c r="BJ40" i="29"/>
  <c r="BI40" i="29"/>
  <c r="BK39" i="29"/>
  <c r="BJ39" i="29"/>
  <c r="BI39" i="29"/>
  <c r="BK38" i="29"/>
  <c r="BJ38" i="29"/>
  <c r="BI38" i="29"/>
  <c r="BK37" i="29"/>
  <c r="BJ37" i="29"/>
  <c r="BI37" i="29"/>
  <c r="BK36" i="29"/>
  <c r="BJ36" i="29"/>
  <c r="BI36" i="29"/>
  <c r="BK35" i="29"/>
  <c r="BJ35" i="29"/>
  <c r="BI35" i="29"/>
  <c r="BK34" i="29"/>
  <c r="BJ34" i="29"/>
  <c r="BI34" i="29"/>
  <c r="BK33" i="29"/>
  <c r="BJ33" i="29"/>
  <c r="BI33" i="29"/>
  <c r="BK32" i="29"/>
  <c r="BJ32" i="29"/>
  <c r="BI32" i="29"/>
  <c r="BK31" i="29"/>
  <c r="BJ31" i="29"/>
  <c r="BI31" i="29"/>
  <c r="BJ30" i="29"/>
  <c r="BI30" i="29"/>
  <c r="BK30" i="29" s="1"/>
  <c r="BK29" i="29"/>
  <c r="BJ29" i="29"/>
  <c r="BI29" i="29"/>
  <c r="BK28" i="29"/>
  <c r="BJ28" i="29"/>
  <c r="BI28" i="29"/>
  <c r="BK27" i="29"/>
  <c r="BJ27" i="29"/>
  <c r="BI27" i="29"/>
  <c r="BK26" i="29"/>
  <c r="BJ26" i="29"/>
  <c r="BI26" i="29"/>
  <c r="BJ25" i="29"/>
  <c r="BI25" i="29"/>
  <c r="BK25" i="29" s="1"/>
  <c r="BK24" i="29"/>
  <c r="BI24" i="29"/>
  <c r="BJ24" i="29" s="1"/>
  <c r="BK23" i="29"/>
  <c r="BJ23" i="29"/>
  <c r="BI23" i="29"/>
  <c r="BK22" i="29"/>
  <c r="BI22" i="29"/>
  <c r="BJ22" i="29" s="1"/>
  <c r="BJ21" i="29"/>
  <c r="BI21" i="29"/>
  <c r="BK21" i="29" s="1"/>
  <c r="BK20" i="29"/>
  <c r="BI20" i="29"/>
  <c r="BJ20" i="29" s="1"/>
  <c r="BK19" i="29"/>
  <c r="BJ19" i="29"/>
  <c r="BI19" i="29"/>
  <c r="BK18" i="29"/>
  <c r="BI18" i="29"/>
  <c r="BJ18" i="29" s="1"/>
  <c r="BD50" i="29"/>
  <c r="BC50" i="29"/>
  <c r="BB50" i="29"/>
  <c r="BD49" i="29"/>
  <c r="BC49" i="29"/>
  <c r="BB49" i="29"/>
  <c r="BD48" i="29"/>
  <c r="BC48" i="29"/>
  <c r="BB48" i="29"/>
  <c r="BD47" i="29"/>
  <c r="BC47" i="29"/>
  <c r="BB47" i="29"/>
  <c r="BD46" i="29"/>
  <c r="BC46" i="29"/>
  <c r="BB46" i="29"/>
  <c r="BD45" i="29"/>
  <c r="BC45" i="29"/>
  <c r="BB45" i="29"/>
  <c r="BD44" i="29"/>
  <c r="BC44" i="29"/>
  <c r="BB44" i="29"/>
  <c r="BD43" i="29"/>
  <c r="BC43" i="29"/>
  <c r="BB43" i="29"/>
  <c r="BD42" i="29"/>
  <c r="BC42" i="29"/>
  <c r="BB42" i="29"/>
  <c r="BD41" i="29"/>
  <c r="BC41" i="29"/>
  <c r="BB41" i="29"/>
  <c r="BD40" i="29"/>
  <c r="BC40" i="29"/>
  <c r="BB40" i="29"/>
  <c r="BD39" i="29"/>
  <c r="BC39" i="29"/>
  <c r="BB39" i="29"/>
  <c r="BD38" i="29"/>
  <c r="BC38" i="29"/>
  <c r="BB38" i="29"/>
  <c r="BD37" i="29"/>
  <c r="BC37" i="29"/>
  <c r="BB37" i="29"/>
  <c r="BD36" i="29"/>
  <c r="BC36" i="29"/>
  <c r="BB36" i="29"/>
  <c r="BD35" i="29"/>
  <c r="BC35" i="29"/>
  <c r="BB35" i="29"/>
  <c r="BD34" i="29"/>
  <c r="BC34" i="29"/>
  <c r="BB34" i="29"/>
  <c r="BD33" i="29"/>
  <c r="BC33" i="29"/>
  <c r="BB33" i="29"/>
  <c r="BD32" i="29"/>
  <c r="BC32" i="29"/>
  <c r="BB32" i="29"/>
  <c r="BD31" i="29"/>
  <c r="BC31" i="29"/>
  <c r="BB31" i="29"/>
  <c r="BC30" i="29"/>
  <c r="BB30" i="29"/>
  <c r="BD30" i="29" s="1"/>
  <c r="BD29" i="29"/>
  <c r="BB29" i="29"/>
  <c r="BC29" i="29" s="1"/>
  <c r="BC28" i="29"/>
  <c r="BB28" i="29"/>
  <c r="BD28" i="29" s="1"/>
  <c r="BD27" i="29"/>
  <c r="BC27" i="29"/>
  <c r="BB27" i="29"/>
  <c r="BD26" i="29"/>
  <c r="BC26" i="29"/>
  <c r="BB26" i="29"/>
  <c r="BC25" i="29"/>
  <c r="BB25" i="29"/>
  <c r="BD25" i="29" s="1"/>
  <c r="BD24" i="29"/>
  <c r="BB24" i="29"/>
  <c r="BC24" i="29" s="1"/>
  <c r="BD23" i="29"/>
  <c r="BC23" i="29"/>
  <c r="BB23" i="29"/>
  <c r="BD22" i="29"/>
  <c r="BB22" i="29"/>
  <c r="BC22" i="29" s="1"/>
  <c r="BC21" i="29"/>
  <c r="BB21" i="29"/>
  <c r="BD21" i="29" s="1"/>
  <c r="BD20" i="29"/>
  <c r="BB20" i="29"/>
  <c r="BC20" i="29" s="1"/>
  <c r="BD19" i="29"/>
  <c r="BC19" i="29"/>
  <c r="BB19" i="29"/>
  <c r="BD18" i="29"/>
  <c r="BB18" i="29"/>
  <c r="BC18" i="29" s="1"/>
  <c r="AW50" i="29"/>
  <c r="AV50" i="29"/>
  <c r="AU50" i="29"/>
  <c r="AW49" i="29"/>
  <c r="AV49" i="29"/>
  <c r="AU49" i="29"/>
  <c r="AW48" i="29"/>
  <c r="AV48" i="29"/>
  <c r="AU48" i="29"/>
  <c r="AW47" i="29"/>
  <c r="AV47" i="29"/>
  <c r="AU47" i="29"/>
  <c r="AW46" i="29"/>
  <c r="AV46" i="29"/>
  <c r="AU46" i="29"/>
  <c r="AW45" i="29"/>
  <c r="AV45" i="29"/>
  <c r="AU45" i="29"/>
  <c r="AW44" i="29"/>
  <c r="AV44" i="29"/>
  <c r="AU44" i="29"/>
  <c r="AW43" i="29"/>
  <c r="AV43" i="29"/>
  <c r="AU43" i="29"/>
  <c r="AW42" i="29"/>
  <c r="AV42" i="29"/>
  <c r="AU42" i="29"/>
  <c r="AW41" i="29"/>
  <c r="AV41" i="29"/>
  <c r="AU41" i="29"/>
  <c r="AW40" i="29"/>
  <c r="AV40" i="29"/>
  <c r="AU40" i="29"/>
  <c r="AW39" i="29"/>
  <c r="AV39" i="29"/>
  <c r="AU39" i="29"/>
  <c r="AW38" i="29"/>
  <c r="AV38" i="29"/>
  <c r="AU38" i="29"/>
  <c r="AW37" i="29"/>
  <c r="AV37" i="29"/>
  <c r="AU37" i="29"/>
  <c r="AW36" i="29"/>
  <c r="AV36" i="29"/>
  <c r="AU36" i="29"/>
  <c r="AW35" i="29"/>
  <c r="AV35" i="29"/>
  <c r="AU35" i="29"/>
  <c r="AW34" i="29"/>
  <c r="AV34" i="29"/>
  <c r="AU34" i="29"/>
  <c r="AW33" i="29"/>
  <c r="AV33" i="29"/>
  <c r="AU33" i="29"/>
  <c r="AW32" i="29"/>
  <c r="AV32" i="29"/>
  <c r="AU32" i="29"/>
  <c r="AW31" i="29"/>
  <c r="AV31" i="29"/>
  <c r="AU31" i="29"/>
  <c r="AV30" i="29"/>
  <c r="AU30" i="29"/>
  <c r="AW30" i="29" s="1"/>
  <c r="AW29" i="29"/>
  <c r="AU29" i="29"/>
  <c r="AV29" i="29" s="1"/>
  <c r="AV28" i="29"/>
  <c r="AU28" i="29"/>
  <c r="AW28" i="29" s="1"/>
  <c r="AW27" i="29"/>
  <c r="AV27" i="29"/>
  <c r="AU27" i="29"/>
  <c r="AW26" i="29"/>
  <c r="AV26" i="29"/>
  <c r="AU26" i="29"/>
  <c r="AV25" i="29"/>
  <c r="AU25" i="29"/>
  <c r="AW25" i="29" s="1"/>
  <c r="AW24" i="29"/>
  <c r="AV24" i="29"/>
  <c r="AU24" i="29"/>
  <c r="AW23" i="29"/>
  <c r="AV23" i="29"/>
  <c r="AU23" i="29"/>
  <c r="AW22" i="29"/>
  <c r="AU22" i="29"/>
  <c r="AV22" i="29" s="1"/>
  <c r="AW21" i="29"/>
  <c r="AV21" i="29"/>
  <c r="AU21" i="29"/>
  <c r="AW20" i="29"/>
  <c r="AU20" i="29"/>
  <c r="AV20" i="29" s="1"/>
  <c r="AW19" i="29"/>
  <c r="AV19" i="29"/>
  <c r="AU19" i="29"/>
  <c r="AW18" i="29"/>
  <c r="AV18" i="29"/>
  <c r="AU18" i="29"/>
  <c r="BK50" i="28"/>
  <c r="BJ50" i="28"/>
  <c r="BI50" i="28"/>
  <c r="BK49" i="28"/>
  <c r="BJ49" i="28"/>
  <c r="BI49" i="28"/>
  <c r="BK48" i="28"/>
  <c r="BJ48" i="28"/>
  <c r="BI48" i="28"/>
  <c r="BK47" i="28"/>
  <c r="BJ47" i="28"/>
  <c r="BI47" i="28"/>
  <c r="BK46" i="28"/>
  <c r="BJ46" i="28"/>
  <c r="BI46" i="28"/>
  <c r="BK45" i="28"/>
  <c r="BJ45" i="28"/>
  <c r="BI45" i="28"/>
  <c r="BK44" i="28"/>
  <c r="BJ44" i="28"/>
  <c r="BI44" i="28"/>
  <c r="BK43" i="28"/>
  <c r="BJ43" i="28"/>
  <c r="BI43" i="28"/>
  <c r="BK42" i="28"/>
  <c r="BJ42" i="28"/>
  <c r="BI42" i="28"/>
  <c r="BK41" i="28"/>
  <c r="BJ41" i="28"/>
  <c r="BI41" i="28"/>
  <c r="BK40" i="28"/>
  <c r="BJ40" i="28"/>
  <c r="BI40" i="28"/>
  <c r="BK39" i="28"/>
  <c r="BJ39" i="28"/>
  <c r="BI39" i="28"/>
  <c r="BK38" i="28"/>
  <c r="BJ38" i="28"/>
  <c r="BI38" i="28"/>
  <c r="BK37" i="28"/>
  <c r="BJ37" i="28"/>
  <c r="BI37" i="28"/>
  <c r="BK36" i="28"/>
  <c r="BJ36" i="28"/>
  <c r="BI36" i="28"/>
  <c r="BK35" i="28"/>
  <c r="BJ35" i="28"/>
  <c r="BI35" i="28"/>
  <c r="BK34" i="28"/>
  <c r="BJ34" i="28"/>
  <c r="BI34" i="28"/>
  <c r="BK33" i="28"/>
  <c r="BJ33" i="28"/>
  <c r="BI33" i="28"/>
  <c r="BK32" i="28"/>
  <c r="BJ32" i="28"/>
  <c r="BI32" i="28"/>
  <c r="BK31" i="28"/>
  <c r="BJ31" i="28"/>
  <c r="BI31" i="28"/>
  <c r="BK30" i="28"/>
  <c r="BJ30" i="28"/>
  <c r="BI30" i="28"/>
  <c r="BK29" i="28"/>
  <c r="BI29" i="28"/>
  <c r="BJ29" i="28" s="1"/>
  <c r="BJ28" i="28"/>
  <c r="BI28" i="28"/>
  <c r="BK28" i="28" s="1"/>
  <c r="BK27" i="28"/>
  <c r="BJ27" i="28"/>
  <c r="BI27" i="28"/>
  <c r="BK26" i="28"/>
  <c r="BJ26" i="28"/>
  <c r="BI26" i="28"/>
  <c r="BJ25" i="28"/>
  <c r="BI25" i="28"/>
  <c r="BK25" i="28" s="1"/>
  <c r="BK24" i="28"/>
  <c r="BJ24" i="28"/>
  <c r="BI24" i="28"/>
  <c r="BK23" i="28"/>
  <c r="BJ23" i="28"/>
  <c r="BI23" i="28"/>
  <c r="BK22" i="28"/>
  <c r="BJ22" i="28"/>
  <c r="BI22" i="28"/>
  <c r="BK21" i="28"/>
  <c r="BJ21" i="28"/>
  <c r="BI21" i="28"/>
  <c r="BK20" i="28"/>
  <c r="BI20" i="28"/>
  <c r="BJ20" i="28" s="1"/>
  <c r="BK19" i="28"/>
  <c r="BJ19" i="28"/>
  <c r="BI19" i="28"/>
  <c r="BK18" i="28"/>
  <c r="BJ18" i="28"/>
  <c r="BI18" i="28"/>
  <c r="BD50" i="28"/>
  <c r="BC50" i="28"/>
  <c r="BB50" i="28"/>
  <c r="BD49" i="28"/>
  <c r="BC49" i="28"/>
  <c r="BB49" i="28"/>
  <c r="BD48" i="28"/>
  <c r="BC48" i="28"/>
  <c r="BB48" i="28"/>
  <c r="BD47" i="28"/>
  <c r="BC47" i="28"/>
  <c r="BB47" i="28"/>
  <c r="BD46" i="28"/>
  <c r="BC46" i="28"/>
  <c r="BB46" i="28"/>
  <c r="BD45" i="28"/>
  <c r="BC45" i="28"/>
  <c r="BB45" i="28"/>
  <c r="BD44" i="28"/>
  <c r="BC44" i="28"/>
  <c r="BB44" i="28"/>
  <c r="BD43" i="28"/>
  <c r="BC43" i="28"/>
  <c r="BB43" i="28"/>
  <c r="BD42" i="28"/>
  <c r="BC42" i="28"/>
  <c r="BB42" i="28"/>
  <c r="BD41" i="28"/>
  <c r="BC41" i="28"/>
  <c r="BB41" i="28"/>
  <c r="BD40" i="28"/>
  <c r="BC40" i="28"/>
  <c r="BB40" i="28"/>
  <c r="BD39" i="28"/>
  <c r="BC39" i="28"/>
  <c r="BB39" i="28"/>
  <c r="BD38" i="28"/>
  <c r="BC38" i="28"/>
  <c r="BB38" i="28"/>
  <c r="BD37" i="28"/>
  <c r="BC37" i="28"/>
  <c r="BB37" i="28"/>
  <c r="BD36" i="28"/>
  <c r="BC36" i="28"/>
  <c r="BB36" i="28"/>
  <c r="BD35" i="28"/>
  <c r="BC35" i="28"/>
  <c r="BB35" i="28"/>
  <c r="BD34" i="28"/>
  <c r="BC34" i="28"/>
  <c r="BB34" i="28"/>
  <c r="BD33" i="28"/>
  <c r="BC33" i="28"/>
  <c r="BB33" i="28"/>
  <c r="BD32" i="28"/>
  <c r="BC32" i="28"/>
  <c r="BB32" i="28"/>
  <c r="BD31" i="28"/>
  <c r="BC31" i="28"/>
  <c r="BB31" i="28"/>
  <c r="BC30" i="28"/>
  <c r="BB30" i="28"/>
  <c r="BD30" i="28" s="1"/>
  <c r="BD29" i="28"/>
  <c r="BC29" i="28"/>
  <c r="BB29" i="28"/>
  <c r="BC28" i="28"/>
  <c r="BB28" i="28"/>
  <c r="BD28" i="28" s="1"/>
  <c r="BD27" i="28"/>
  <c r="BC27" i="28"/>
  <c r="BB27" i="28"/>
  <c r="BD26" i="28"/>
  <c r="BC26" i="28"/>
  <c r="BB26" i="28"/>
  <c r="BC25" i="28"/>
  <c r="BB25" i="28"/>
  <c r="BD25" i="28" s="1"/>
  <c r="BD24" i="28"/>
  <c r="BB24" i="28"/>
  <c r="BC24" i="28" s="1"/>
  <c r="BD23" i="28"/>
  <c r="BC23" i="28"/>
  <c r="BB23" i="28"/>
  <c r="BD22" i="28"/>
  <c r="BB22" i="28"/>
  <c r="BC22" i="28" s="1"/>
  <c r="BC21" i="28"/>
  <c r="BB21" i="28"/>
  <c r="BD21" i="28" s="1"/>
  <c r="BD20" i="28"/>
  <c r="BB20" i="28"/>
  <c r="BC20" i="28" s="1"/>
  <c r="BD19" i="28"/>
  <c r="BC19" i="28"/>
  <c r="BB19" i="28"/>
  <c r="BD18" i="28"/>
  <c r="BB18" i="28"/>
  <c r="BC18" i="28" s="1"/>
  <c r="AW50" i="28"/>
  <c r="AV50" i="28"/>
  <c r="AU50" i="28"/>
  <c r="AW49" i="28"/>
  <c r="AV49" i="28"/>
  <c r="AU49" i="28"/>
  <c r="AW48" i="28"/>
  <c r="AV48" i="28"/>
  <c r="AU48" i="28"/>
  <c r="AW47" i="28"/>
  <c r="AV47" i="28"/>
  <c r="AU47" i="28"/>
  <c r="AW46" i="28"/>
  <c r="AV46" i="28"/>
  <c r="AU46" i="28"/>
  <c r="AW45" i="28"/>
  <c r="AV45" i="28"/>
  <c r="AU45" i="28"/>
  <c r="AW44" i="28"/>
  <c r="AV44" i="28"/>
  <c r="AU44" i="28"/>
  <c r="AW43" i="28"/>
  <c r="AV43" i="28"/>
  <c r="AU43" i="28"/>
  <c r="AW42" i="28"/>
  <c r="AV42" i="28"/>
  <c r="AU42" i="28"/>
  <c r="AW41" i="28"/>
  <c r="AV41" i="28"/>
  <c r="AU41" i="28"/>
  <c r="AW40" i="28"/>
  <c r="AV40" i="28"/>
  <c r="AU40" i="28"/>
  <c r="AW39" i="28"/>
  <c r="AV39" i="28"/>
  <c r="AU39" i="28"/>
  <c r="AW38" i="28"/>
  <c r="AV38" i="28"/>
  <c r="AU38" i="28"/>
  <c r="AW37" i="28"/>
  <c r="AV37" i="28"/>
  <c r="AU37" i="28"/>
  <c r="AW36" i="28"/>
  <c r="AV36" i="28"/>
  <c r="AU36" i="28"/>
  <c r="AW35" i="28"/>
  <c r="AV35" i="28"/>
  <c r="AU35" i="28"/>
  <c r="AW34" i="28"/>
  <c r="AV34" i="28"/>
  <c r="AU34" i="28"/>
  <c r="AW33" i="28"/>
  <c r="AV33" i="28"/>
  <c r="AU33" i="28"/>
  <c r="AW32" i="28"/>
  <c r="AV32" i="28"/>
  <c r="AU32" i="28"/>
  <c r="AW31" i="28"/>
  <c r="AV31" i="28"/>
  <c r="AU31" i="28"/>
  <c r="AW30" i="28"/>
  <c r="AV30" i="28"/>
  <c r="AU30" i="28"/>
  <c r="AW29" i="28"/>
  <c r="AU29" i="28"/>
  <c r="AV29" i="28" s="1"/>
  <c r="AV28" i="28"/>
  <c r="AU28" i="28"/>
  <c r="AW28" i="28" s="1"/>
  <c r="AW27" i="28"/>
  <c r="AU27" i="28"/>
  <c r="AV27" i="28" s="1"/>
  <c r="AW26" i="28"/>
  <c r="AV26" i="28"/>
  <c r="AU26" i="28"/>
  <c r="AW25" i="28"/>
  <c r="AV25" i="28"/>
  <c r="AU25" i="28"/>
  <c r="AW24" i="28"/>
  <c r="AU24" i="28"/>
  <c r="AV24" i="28" s="1"/>
  <c r="AW23" i="28"/>
  <c r="AV23" i="28"/>
  <c r="AU23" i="28"/>
  <c r="AW22" i="28"/>
  <c r="AV22" i="28"/>
  <c r="AU22" i="28"/>
  <c r="AV21" i="28"/>
  <c r="AU21" i="28"/>
  <c r="AW21" i="28" s="1"/>
  <c r="AW20" i="28"/>
  <c r="AV20" i="28"/>
  <c r="AU20" i="28"/>
  <c r="AW19" i="28"/>
  <c r="AV19" i="28"/>
  <c r="AU19" i="28"/>
  <c r="AW18" i="28"/>
  <c r="AV18" i="28"/>
  <c r="AU18" i="28"/>
  <c r="BK50" i="27"/>
  <c r="BJ50" i="27"/>
  <c r="BI50" i="27"/>
  <c r="BK49" i="27"/>
  <c r="BJ49" i="27"/>
  <c r="BI49" i="27"/>
  <c r="BK48" i="27"/>
  <c r="BJ48" i="27"/>
  <c r="BI48" i="27"/>
  <c r="BK47" i="27"/>
  <c r="BJ47" i="27"/>
  <c r="BI47" i="27"/>
  <c r="BK46" i="27"/>
  <c r="BJ46" i="27"/>
  <c r="BI46" i="27"/>
  <c r="BK45" i="27"/>
  <c r="BJ45" i="27"/>
  <c r="BI45" i="27"/>
  <c r="BK44" i="27"/>
  <c r="BJ44" i="27"/>
  <c r="BI44" i="27"/>
  <c r="BK43" i="27"/>
  <c r="BJ43" i="27"/>
  <c r="BI43" i="27"/>
  <c r="BK42" i="27"/>
  <c r="BJ42" i="27"/>
  <c r="BI42" i="27"/>
  <c r="BK41" i="27"/>
  <c r="BJ41" i="27"/>
  <c r="BI41" i="27"/>
  <c r="BK40" i="27"/>
  <c r="BJ40" i="27"/>
  <c r="BI40" i="27"/>
  <c r="BK39" i="27"/>
  <c r="BJ39" i="27"/>
  <c r="BI39" i="27"/>
  <c r="BK38" i="27"/>
  <c r="BJ38" i="27"/>
  <c r="BI38" i="27"/>
  <c r="BK37" i="27"/>
  <c r="BJ37" i="27"/>
  <c r="BI37" i="27"/>
  <c r="BK36" i="27"/>
  <c r="BJ36" i="27"/>
  <c r="BI36" i="27"/>
  <c r="BK35" i="27"/>
  <c r="BJ35" i="27"/>
  <c r="BI35" i="27"/>
  <c r="BK34" i="27"/>
  <c r="BJ34" i="27"/>
  <c r="BI34" i="27"/>
  <c r="BK33" i="27"/>
  <c r="BJ33" i="27"/>
  <c r="BI33" i="27"/>
  <c r="BK32" i="27"/>
  <c r="BJ32" i="27"/>
  <c r="BI32" i="27"/>
  <c r="BJ31" i="27"/>
  <c r="BI31" i="27"/>
  <c r="BK31" i="27" s="1"/>
  <c r="BK30" i="27"/>
  <c r="BJ30" i="27"/>
  <c r="BI30" i="27"/>
  <c r="BK29" i="27"/>
  <c r="BI29" i="27"/>
  <c r="BJ29" i="27" s="1"/>
  <c r="BJ28" i="27"/>
  <c r="BI28" i="27"/>
  <c r="BK28" i="27" s="1"/>
  <c r="BK27" i="27"/>
  <c r="BJ27" i="27"/>
  <c r="BI27" i="27"/>
  <c r="BK26" i="27"/>
  <c r="BJ26" i="27"/>
  <c r="BI26" i="27"/>
  <c r="BK25" i="27"/>
  <c r="BJ25" i="27"/>
  <c r="BI25" i="27"/>
  <c r="BK24" i="27"/>
  <c r="BJ24" i="27"/>
  <c r="BI24" i="27"/>
  <c r="BJ23" i="27"/>
  <c r="BI23" i="27"/>
  <c r="BK23" i="27" s="1"/>
  <c r="BK22" i="27"/>
  <c r="BI22" i="27"/>
  <c r="BJ22" i="27" s="1"/>
  <c r="BJ21" i="27"/>
  <c r="BI21" i="27"/>
  <c r="BK21" i="27" s="1"/>
  <c r="BK20" i="27"/>
  <c r="BI20" i="27"/>
  <c r="BJ20" i="27" s="1"/>
  <c r="BJ19" i="27"/>
  <c r="BI19" i="27"/>
  <c r="BK19" i="27" s="1"/>
  <c r="BK18" i="27"/>
  <c r="BJ18" i="27"/>
  <c r="BI18" i="27"/>
  <c r="BD50" i="27"/>
  <c r="BC50" i="27"/>
  <c r="BB50" i="27"/>
  <c r="BD49" i="27"/>
  <c r="BC49" i="27"/>
  <c r="BB49" i="27"/>
  <c r="BD48" i="27"/>
  <c r="BC48" i="27"/>
  <c r="BB48" i="27"/>
  <c r="BD47" i="27"/>
  <c r="BC47" i="27"/>
  <c r="BB47" i="27"/>
  <c r="BD46" i="27"/>
  <c r="BC46" i="27"/>
  <c r="BB46" i="27"/>
  <c r="BD45" i="27"/>
  <c r="BC45" i="27"/>
  <c r="BB45" i="27"/>
  <c r="BD44" i="27"/>
  <c r="BC44" i="27"/>
  <c r="BB44" i="27"/>
  <c r="BD43" i="27"/>
  <c r="BC43" i="27"/>
  <c r="BB43" i="27"/>
  <c r="BD42" i="27"/>
  <c r="BC42" i="27"/>
  <c r="BB42" i="27"/>
  <c r="BD41" i="27"/>
  <c r="BC41" i="27"/>
  <c r="BB41" i="27"/>
  <c r="BD40" i="27"/>
  <c r="BC40" i="27"/>
  <c r="BB40" i="27"/>
  <c r="BD39" i="27"/>
  <c r="BC39" i="27"/>
  <c r="BB39" i="27"/>
  <c r="BD38" i="27"/>
  <c r="BC38" i="27"/>
  <c r="BB38" i="27"/>
  <c r="BD37" i="27"/>
  <c r="BC37" i="27"/>
  <c r="BB37" i="27"/>
  <c r="BD36" i="27"/>
  <c r="BC36" i="27"/>
  <c r="BB36" i="27"/>
  <c r="BD35" i="27"/>
  <c r="BC35" i="27"/>
  <c r="BB35" i="27"/>
  <c r="BD34" i="27"/>
  <c r="BC34" i="27"/>
  <c r="BB34" i="27"/>
  <c r="BD33" i="27"/>
  <c r="BC33" i="27"/>
  <c r="BB33" i="27"/>
  <c r="BD32" i="27"/>
  <c r="BC32" i="27"/>
  <c r="BB32" i="27"/>
  <c r="BD31" i="27"/>
  <c r="BC31" i="27"/>
  <c r="BB31" i="27"/>
  <c r="BD30" i="27"/>
  <c r="BC30" i="27"/>
  <c r="BB30" i="27"/>
  <c r="BD29" i="27"/>
  <c r="BB29" i="27"/>
  <c r="BC29" i="27" s="1"/>
  <c r="BD28" i="27"/>
  <c r="BC28" i="27"/>
  <c r="BB28" i="27"/>
  <c r="BD27" i="27"/>
  <c r="BC27" i="27"/>
  <c r="BB27" i="27"/>
  <c r="BD26" i="27"/>
  <c r="BC26" i="27"/>
  <c r="BB26" i="27"/>
  <c r="BC25" i="27"/>
  <c r="BB25" i="27"/>
  <c r="BD25" i="27" s="1"/>
  <c r="BD24" i="27"/>
  <c r="BB24" i="27"/>
  <c r="BC24" i="27" s="1"/>
  <c r="BD23" i="27"/>
  <c r="BC23" i="27"/>
  <c r="BB23" i="27"/>
  <c r="BD22" i="27"/>
  <c r="BB22" i="27"/>
  <c r="BC22" i="27" s="1"/>
  <c r="BC21" i="27"/>
  <c r="BB21" i="27"/>
  <c r="BD21" i="27" s="1"/>
  <c r="BD20" i="27"/>
  <c r="BB20" i="27"/>
  <c r="BC20" i="27" s="1"/>
  <c r="BD19" i="27"/>
  <c r="BC19" i="27"/>
  <c r="BB19" i="27"/>
  <c r="BD18" i="27"/>
  <c r="BB18" i="27"/>
  <c r="BC18" i="27" s="1"/>
  <c r="AW50" i="27"/>
  <c r="AV50" i="27"/>
  <c r="AU50" i="27"/>
  <c r="AW49" i="27"/>
  <c r="AV49" i="27"/>
  <c r="AU49" i="27"/>
  <c r="AW48" i="27"/>
  <c r="AV48" i="27"/>
  <c r="AU48" i="27"/>
  <c r="AW47" i="27"/>
  <c r="AV47" i="27"/>
  <c r="AU47" i="27"/>
  <c r="AW46" i="27"/>
  <c r="AV46" i="27"/>
  <c r="AU46" i="27"/>
  <c r="AW45" i="27"/>
  <c r="AV45" i="27"/>
  <c r="AU45" i="27"/>
  <c r="AW44" i="27"/>
  <c r="AV44" i="27"/>
  <c r="AU44" i="27"/>
  <c r="AW43" i="27"/>
  <c r="AV43" i="27"/>
  <c r="AU43" i="27"/>
  <c r="AW42" i="27"/>
  <c r="AV42" i="27"/>
  <c r="AU42" i="27"/>
  <c r="AW41" i="27"/>
  <c r="AV41" i="27"/>
  <c r="AU41" i="27"/>
  <c r="AW40" i="27"/>
  <c r="AV40" i="27"/>
  <c r="AU40" i="27"/>
  <c r="AW39" i="27"/>
  <c r="AV39" i="27"/>
  <c r="AU39" i="27"/>
  <c r="AW38" i="27"/>
  <c r="AV38" i="27"/>
  <c r="AU38" i="27"/>
  <c r="AW37" i="27"/>
  <c r="AV37" i="27"/>
  <c r="AU37" i="27"/>
  <c r="AW36" i="27"/>
  <c r="AV36" i="27"/>
  <c r="AU36" i="27"/>
  <c r="AW35" i="27"/>
  <c r="AV35" i="27"/>
  <c r="AU35" i="27"/>
  <c r="AW34" i="27"/>
  <c r="AV34" i="27"/>
  <c r="AU34" i="27"/>
  <c r="AW33" i="27"/>
  <c r="AV33" i="27"/>
  <c r="AU33" i="27"/>
  <c r="AW32" i="27"/>
  <c r="AV32" i="27"/>
  <c r="AU32" i="27"/>
  <c r="AW31" i="27"/>
  <c r="AV31" i="27"/>
  <c r="AU31" i="27"/>
  <c r="AW30" i="27"/>
  <c r="AV30" i="27"/>
  <c r="AU30" i="27"/>
  <c r="AW29" i="27"/>
  <c r="AU29" i="27"/>
  <c r="AV29" i="27" s="1"/>
  <c r="AV28" i="27"/>
  <c r="AU28" i="27"/>
  <c r="AW28" i="27" s="1"/>
  <c r="AW27" i="27"/>
  <c r="AV27" i="27"/>
  <c r="AU27" i="27"/>
  <c r="AW26" i="27"/>
  <c r="AV26" i="27"/>
  <c r="AU26" i="27"/>
  <c r="AV25" i="27"/>
  <c r="AU25" i="27"/>
  <c r="AW25" i="27" s="1"/>
  <c r="AW24" i="27"/>
  <c r="AV24" i="27"/>
  <c r="AU24" i="27"/>
  <c r="AW23" i="27"/>
  <c r="AV23" i="27"/>
  <c r="AU23" i="27"/>
  <c r="AW22" i="27"/>
  <c r="AV22" i="27"/>
  <c r="AU22" i="27"/>
  <c r="AW21" i="27"/>
  <c r="AV21" i="27"/>
  <c r="AU21" i="27"/>
  <c r="AW20" i="27"/>
  <c r="AU20" i="27"/>
  <c r="AV20" i="27" s="1"/>
  <c r="AW19" i="27"/>
  <c r="AV19" i="27"/>
  <c r="AU19" i="27"/>
  <c r="AW18" i="27"/>
  <c r="AU18" i="27"/>
  <c r="AV18" i="27" s="1"/>
  <c r="BK50" i="17"/>
  <c r="BJ50" i="17"/>
  <c r="BK49" i="17"/>
  <c r="BJ49" i="17"/>
  <c r="BK48" i="17"/>
  <c r="BJ48" i="17"/>
  <c r="BK47" i="17"/>
  <c r="BJ47" i="17"/>
  <c r="BK46" i="17"/>
  <c r="BJ46" i="17"/>
  <c r="BK45" i="17"/>
  <c r="BJ45" i="17"/>
  <c r="BK44" i="17"/>
  <c r="BJ44" i="17"/>
  <c r="BK43" i="17"/>
  <c r="BJ43" i="17"/>
  <c r="BK42" i="17"/>
  <c r="BJ42" i="17"/>
  <c r="BK41" i="17"/>
  <c r="BJ41" i="17"/>
  <c r="BK40" i="17"/>
  <c r="BJ40" i="17"/>
  <c r="BK39" i="17"/>
  <c r="BJ39" i="17"/>
  <c r="BK38" i="17"/>
  <c r="BJ38" i="17"/>
  <c r="BK37" i="17"/>
  <c r="BJ37" i="17"/>
  <c r="BK36" i="17"/>
  <c r="BJ36" i="17"/>
  <c r="BK35" i="17"/>
  <c r="BJ35" i="17"/>
  <c r="BK34" i="17"/>
  <c r="BJ34" i="17"/>
  <c r="BK33" i="17"/>
  <c r="BJ33" i="17"/>
  <c r="BK32" i="17"/>
  <c r="BJ32" i="17"/>
  <c r="BJ31" i="17"/>
  <c r="BK31" i="17"/>
  <c r="BJ30" i="17"/>
  <c r="BK30" i="17"/>
  <c r="BK29" i="17"/>
  <c r="BJ29" i="17"/>
  <c r="BJ28" i="17"/>
  <c r="BK28" i="17"/>
  <c r="BK27" i="17"/>
  <c r="BJ27" i="17"/>
  <c r="BK26" i="17"/>
  <c r="BJ26" i="17"/>
  <c r="BJ25" i="17"/>
  <c r="BK25" i="17"/>
  <c r="BK24" i="17"/>
  <c r="BJ24" i="17"/>
  <c r="BJ23" i="17"/>
  <c r="BK23" i="17"/>
  <c r="BK22" i="17"/>
  <c r="BJ22" i="17"/>
  <c r="BJ21" i="17"/>
  <c r="BK21" i="17"/>
  <c r="BK20" i="17"/>
  <c r="BJ20" i="17"/>
  <c r="BJ19" i="17"/>
  <c r="BK19" i="17"/>
  <c r="BK18" i="17"/>
  <c r="BJ18" i="17"/>
  <c r="BD50" i="17"/>
  <c r="BC50" i="17"/>
  <c r="BB50" i="17"/>
  <c r="BD49" i="17"/>
  <c r="BC49" i="17"/>
  <c r="BB49" i="17"/>
  <c r="BD48" i="17"/>
  <c r="BC48" i="17"/>
  <c r="BB48" i="17"/>
  <c r="BD47" i="17"/>
  <c r="BC47" i="17"/>
  <c r="BB47" i="17"/>
  <c r="BD46" i="17"/>
  <c r="BC46" i="17"/>
  <c r="BB46" i="17"/>
  <c r="BD45" i="17"/>
  <c r="BC45" i="17"/>
  <c r="BB45" i="17"/>
  <c r="BD44" i="17"/>
  <c r="BC44" i="17"/>
  <c r="BB44" i="17"/>
  <c r="BD43" i="17"/>
  <c r="BC43" i="17"/>
  <c r="BB43" i="17"/>
  <c r="BD42" i="17"/>
  <c r="BC42" i="17"/>
  <c r="BB42" i="17"/>
  <c r="BD41" i="17"/>
  <c r="BC41" i="17"/>
  <c r="BB41" i="17"/>
  <c r="BD40" i="17"/>
  <c r="BC40" i="17"/>
  <c r="BB40" i="17"/>
  <c r="BD39" i="17"/>
  <c r="BC39" i="17"/>
  <c r="BB39" i="17"/>
  <c r="BD38" i="17"/>
  <c r="BC38" i="17"/>
  <c r="BB38" i="17"/>
  <c r="BD37" i="17"/>
  <c r="BC37" i="17"/>
  <c r="BB37" i="17"/>
  <c r="BD36" i="17"/>
  <c r="BC36" i="17"/>
  <c r="BB36" i="17"/>
  <c r="BD35" i="17"/>
  <c r="BC35" i="17"/>
  <c r="BB35" i="17"/>
  <c r="BD34" i="17"/>
  <c r="BC34" i="17"/>
  <c r="BB34" i="17"/>
  <c r="BD33" i="17"/>
  <c r="BC33" i="17"/>
  <c r="BB33" i="17"/>
  <c r="BD32" i="17"/>
  <c r="BC32" i="17"/>
  <c r="BB32" i="17"/>
  <c r="BD31" i="17"/>
  <c r="BC31" i="17"/>
  <c r="BB31" i="17"/>
  <c r="BC30" i="17"/>
  <c r="BB30" i="17"/>
  <c r="BD30" i="17" s="1"/>
  <c r="BD29" i="17"/>
  <c r="BB29" i="17"/>
  <c r="BC29" i="17" s="1"/>
  <c r="BD28" i="17"/>
  <c r="BC28" i="17"/>
  <c r="BB28" i="17"/>
  <c r="BD27" i="17"/>
  <c r="BB27" i="17"/>
  <c r="BC27" i="17" s="1"/>
  <c r="BD26" i="17"/>
  <c r="BC26" i="17"/>
  <c r="BB26" i="17"/>
  <c r="BC25" i="17"/>
  <c r="BB25" i="17"/>
  <c r="BD25" i="17" s="1"/>
  <c r="BD24" i="17"/>
  <c r="BB24" i="17"/>
  <c r="BC24" i="17" s="1"/>
  <c r="BC23" i="17"/>
  <c r="BB23" i="17"/>
  <c r="BD23" i="17" s="1"/>
  <c r="BD22" i="17"/>
  <c r="BB22" i="17"/>
  <c r="BC22" i="17" s="1"/>
  <c r="BC21" i="17"/>
  <c r="BB21" i="17"/>
  <c r="BD21" i="17" s="1"/>
  <c r="BD20" i="17"/>
  <c r="BB20" i="17"/>
  <c r="BC20" i="17" s="1"/>
  <c r="BC19" i="17"/>
  <c r="BB19" i="17"/>
  <c r="BD19" i="17" s="1"/>
  <c r="BD18" i="17"/>
  <c r="BB18" i="17"/>
  <c r="BC18" i="17" s="1"/>
  <c r="AW50" i="17"/>
  <c r="AV50" i="17"/>
  <c r="AU50" i="17"/>
  <c r="AW49" i="17"/>
  <c r="AV49" i="17"/>
  <c r="AU49" i="17"/>
  <c r="AW48" i="17"/>
  <c r="AV48" i="17"/>
  <c r="AU48" i="17"/>
  <c r="AW47" i="17"/>
  <c r="AV47" i="17"/>
  <c r="AU47" i="17"/>
  <c r="AW46" i="17"/>
  <c r="AV46" i="17"/>
  <c r="AU46" i="17"/>
  <c r="AW45" i="17"/>
  <c r="AV45" i="17"/>
  <c r="AU45" i="17"/>
  <c r="AW44" i="17"/>
  <c r="AV44" i="17"/>
  <c r="AU44" i="17"/>
  <c r="AW43" i="17"/>
  <c r="AV43" i="17"/>
  <c r="AU43" i="17"/>
  <c r="AW42" i="17"/>
  <c r="AV42" i="17"/>
  <c r="AU42" i="17"/>
  <c r="AW41" i="17"/>
  <c r="AV41" i="17"/>
  <c r="AU41" i="17"/>
  <c r="AW40" i="17"/>
  <c r="AV40" i="17"/>
  <c r="AU40" i="17"/>
  <c r="AW39" i="17"/>
  <c r="AV39" i="17"/>
  <c r="AU39" i="17"/>
  <c r="AW38" i="17"/>
  <c r="AV38" i="17"/>
  <c r="AU38" i="17"/>
  <c r="AW37" i="17"/>
  <c r="AV37" i="17"/>
  <c r="AU37" i="17"/>
  <c r="AW36" i="17"/>
  <c r="AV36" i="17"/>
  <c r="AU36" i="17"/>
  <c r="AW35" i="17"/>
  <c r="AV35" i="17"/>
  <c r="AU35" i="17"/>
  <c r="AW34" i="17"/>
  <c r="AV34" i="17"/>
  <c r="AU34" i="17"/>
  <c r="AW33" i="17"/>
  <c r="AV33" i="17"/>
  <c r="AU33" i="17"/>
  <c r="AW32" i="17"/>
  <c r="AV32" i="17"/>
  <c r="AU32" i="17"/>
  <c r="AV31" i="17"/>
  <c r="AU31" i="17"/>
  <c r="AW31" i="17" s="1"/>
  <c r="AV30" i="17"/>
  <c r="AU30" i="17"/>
  <c r="AW30" i="17" s="1"/>
  <c r="AW29" i="17"/>
  <c r="AU29" i="17"/>
  <c r="AV29" i="17" s="1"/>
  <c r="AW28" i="17"/>
  <c r="AV28" i="17"/>
  <c r="AU28" i="17"/>
  <c r="AW27" i="17"/>
  <c r="AV27" i="17"/>
  <c r="AU27" i="17"/>
  <c r="AW26" i="17"/>
  <c r="AV26" i="17"/>
  <c r="AU26" i="17"/>
  <c r="AV25" i="17"/>
  <c r="AU25" i="17"/>
  <c r="AW25" i="17" s="1"/>
  <c r="AW24" i="17"/>
  <c r="AU24" i="17"/>
  <c r="AV24" i="17" s="1"/>
  <c r="AV23" i="17"/>
  <c r="AU23" i="17"/>
  <c r="AW23" i="17" s="1"/>
  <c r="AW22" i="17"/>
  <c r="AU22" i="17"/>
  <c r="AV22" i="17" s="1"/>
  <c r="AV21" i="17"/>
  <c r="AU21" i="17"/>
  <c r="AW21" i="17" s="1"/>
  <c r="AW20" i="17"/>
  <c r="AU20" i="17"/>
  <c r="AV20" i="17" s="1"/>
  <c r="AW19" i="17"/>
  <c r="AV19" i="17"/>
  <c r="AU19" i="17"/>
  <c r="AW18" i="17"/>
  <c r="AU18" i="17"/>
  <c r="AV18" i="17" s="1"/>
  <c r="Z18" i="17"/>
  <c r="E26" i="20"/>
  <c r="F20" i="20"/>
  <c r="B14" i="29"/>
  <c r="B14" i="28"/>
  <c r="B14" i="27"/>
  <c r="AF17" i="24" l="1"/>
  <c r="AF63" i="24"/>
  <c r="AE85" i="24"/>
  <c r="AF39" i="24"/>
  <c r="AE18" i="24"/>
  <c r="AF61" i="24"/>
  <c r="AE83" i="24"/>
  <c r="AG83" i="24" s="1"/>
  <c r="AE61" i="24"/>
  <c r="AF85" i="24"/>
  <c r="AF40" i="24"/>
  <c r="AE62" i="24"/>
  <c r="AE19" i="24"/>
  <c r="AF62" i="24"/>
  <c r="AE84" i="24"/>
  <c r="AE41" i="24"/>
  <c r="AF84" i="24"/>
  <c r="AE17" i="24"/>
  <c r="AF18" i="24"/>
  <c r="AF19" i="24"/>
  <c r="AG19" i="24" s="1"/>
  <c r="AE39" i="24"/>
  <c r="AE40" i="24"/>
  <c r="AF41" i="24"/>
  <c r="AE63" i="24"/>
  <c r="AG63" i="24" s="1"/>
  <c r="AF83" i="24"/>
  <c r="AG39" i="24"/>
  <c r="G28" i="18"/>
  <c r="AF78" i="24"/>
  <c r="AE77" i="24"/>
  <c r="AE54" i="24"/>
  <c r="AF34" i="24"/>
  <c r="AE33" i="24"/>
  <c r="AE76" i="24"/>
  <c r="AF76" i="24"/>
  <c r="AF77" i="24"/>
  <c r="AE78" i="24"/>
  <c r="AG78" i="24" s="1"/>
  <c r="AF56" i="24"/>
  <c r="AE56" i="24"/>
  <c r="AE55" i="24"/>
  <c r="AF55" i="24"/>
  <c r="AF54" i="24"/>
  <c r="AE34" i="24"/>
  <c r="AF33" i="24"/>
  <c r="AE32" i="24"/>
  <c r="AF32" i="24"/>
  <c r="AF12" i="24"/>
  <c r="AE12" i="24"/>
  <c r="AE11" i="24"/>
  <c r="AF11" i="24"/>
  <c r="AE10" i="24"/>
  <c r="AF10" i="24"/>
  <c r="F19" i="20"/>
  <c r="F18" i="20"/>
  <c r="F17" i="20"/>
  <c r="F16" i="20"/>
  <c r="AG62" i="24" l="1"/>
  <c r="AG41" i="24"/>
  <c r="AG85" i="24"/>
  <c r="AG84" i="24"/>
  <c r="AG17" i="24"/>
  <c r="AG40" i="24"/>
  <c r="AG18" i="24"/>
  <c r="AG34" i="24"/>
  <c r="AG10" i="24"/>
  <c r="AG54" i="24"/>
  <c r="AG32" i="24"/>
  <c r="AG56" i="24"/>
  <c r="AG76" i="24"/>
  <c r="AG11" i="24"/>
  <c r="G29" i="18"/>
  <c r="AG55" i="24"/>
  <c r="AG77" i="24"/>
  <c r="AG33" i="24"/>
  <c r="AG12" i="24"/>
  <c r="G3" i="20"/>
  <c r="E13" i="20"/>
  <c r="E14" i="20"/>
  <c r="E10" i="20"/>
  <c r="E23" i="20"/>
  <c r="F119" i="18"/>
  <c r="E11" i="20"/>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AG90" i="24"/>
  <c r="AG68" i="24"/>
  <c r="AG46" i="24"/>
  <c r="AG24" i="24"/>
  <c r="E25" i="20"/>
  <c r="E22" i="20"/>
  <c r="E24" i="20"/>
  <c r="E21" i="20"/>
  <c r="E20" i="20"/>
  <c r="E19" i="20"/>
  <c r="E18" i="20"/>
  <c r="E17" i="20"/>
  <c r="E16" i="20"/>
  <c r="E15" i="20"/>
  <c r="B29" i="20" l="1"/>
  <c r="G2" i="20"/>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I13" i="22"/>
  <c r="K13" i="22" s="1"/>
  <c r="K14" i="22"/>
  <c r="K15" i="22"/>
  <c r="K16" i="22"/>
  <c r="K17" i="22"/>
  <c r="K18"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3" i="22"/>
  <c r="K74" i="22"/>
  <c r="K75" i="22"/>
  <c r="K76" i="22"/>
  <c r="K77" i="22"/>
  <c r="K78" i="22"/>
  <c r="K79" i="22"/>
  <c r="K80" i="22"/>
  <c r="K81" i="22"/>
  <c r="K82" i="22"/>
  <c r="K83" i="22"/>
  <c r="K84" i="22"/>
  <c r="K85" i="22"/>
  <c r="K86" i="22"/>
  <c r="K87" i="22"/>
  <c r="K88" i="22"/>
  <c r="K89" i="22"/>
  <c r="K90" i="22"/>
  <c r="K91" i="22"/>
  <c r="K92" i="22"/>
  <c r="K93" i="22"/>
  <c r="K94" i="22"/>
  <c r="K95" i="22"/>
  <c r="K96" i="22"/>
  <c r="K97" i="22"/>
  <c r="K98" i="22"/>
  <c r="K99" i="22"/>
  <c r="K100" i="22"/>
  <c r="K101" i="22"/>
  <c r="K102" i="22"/>
  <c r="K103" i="22"/>
  <c r="K104" i="22"/>
  <c r="K105" i="22"/>
  <c r="K106" i="22"/>
  <c r="K107" i="22"/>
  <c r="K108" i="22"/>
  <c r="K109" i="22"/>
  <c r="K110" i="22"/>
  <c r="K111" i="22"/>
  <c r="K112" i="22"/>
  <c r="K113" i="22"/>
  <c r="K114" i="22"/>
  <c r="K115" i="22"/>
  <c r="K116" i="22"/>
  <c r="K117" i="22"/>
  <c r="K118" i="22"/>
  <c r="K119" i="22"/>
  <c r="K120" i="22"/>
  <c r="K121" i="22"/>
  <c r="K122" i="22"/>
  <c r="K123" i="22"/>
  <c r="K124" i="22"/>
  <c r="K125" i="22"/>
  <c r="K126" i="22"/>
  <c r="K127" i="22"/>
  <c r="K128" i="22"/>
  <c r="K129" i="22"/>
  <c r="K130" i="22"/>
  <c r="K131" i="22"/>
  <c r="K132" i="22"/>
  <c r="K133" i="22"/>
  <c r="K134" i="22"/>
  <c r="K135" i="22"/>
  <c r="K136" i="22"/>
  <c r="K137" i="22"/>
  <c r="K138" i="22"/>
  <c r="K139" i="22"/>
  <c r="K140" i="22"/>
  <c r="K141" i="22"/>
  <c r="K142" i="22"/>
  <c r="K143" i="22"/>
  <c r="K144" i="22"/>
  <c r="K145" i="22"/>
  <c r="K146" i="22"/>
  <c r="K147" i="22"/>
  <c r="K148" i="22"/>
  <c r="K149" i="22"/>
  <c r="K150" i="22"/>
  <c r="K151" i="22"/>
  <c r="K152" i="22"/>
  <c r="K153" i="22"/>
  <c r="K154" i="22"/>
  <c r="K155" i="22"/>
  <c r="K156" i="22"/>
  <c r="K157" i="22"/>
  <c r="K158" i="22"/>
  <c r="K159" i="22"/>
  <c r="K160" i="22"/>
  <c r="K161" i="22"/>
  <c r="K162" i="22"/>
  <c r="K163" i="22"/>
  <c r="K164" i="22"/>
  <c r="K165" i="22"/>
  <c r="K166" i="22"/>
  <c r="K167" i="22"/>
  <c r="K168" i="22"/>
  <c r="K169" i="22"/>
  <c r="K170" i="22"/>
  <c r="K171" i="22"/>
  <c r="K172" i="22"/>
  <c r="K173" i="22"/>
  <c r="K174" i="22"/>
  <c r="K175" i="22"/>
  <c r="K176" i="22"/>
  <c r="K177" i="22"/>
  <c r="K178" i="22"/>
  <c r="K179" i="22"/>
  <c r="K180" i="22"/>
  <c r="K181" i="22"/>
  <c r="K182" i="22"/>
  <c r="K183" i="22"/>
  <c r="K184" i="22"/>
  <c r="K185" i="22"/>
  <c r="K186" i="22"/>
  <c r="K187" i="22"/>
  <c r="K188" i="22"/>
  <c r="K189" i="22"/>
  <c r="K190" i="22"/>
  <c r="K191" i="22"/>
  <c r="K192" i="22"/>
  <c r="K193" i="22"/>
  <c r="K194" i="22"/>
  <c r="K195" i="22"/>
  <c r="K196" i="22"/>
  <c r="K197" i="22"/>
  <c r="K198" i="22"/>
  <c r="K199" i="22"/>
  <c r="K200" i="22"/>
  <c r="K201" i="22"/>
  <c r="K202" i="22"/>
  <c r="K203" i="22"/>
  <c r="K204" i="22"/>
  <c r="K205" i="22"/>
  <c r="K206" i="22"/>
  <c r="K207" i="22"/>
  <c r="K208" i="22"/>
  <c r="K209" i="22"/>
  <c r="K210" i="22"/>
  <c r="K211" i="22"/>
  <c r="K212" i="22"/>
  <c r="K213" i="22"/>
  <c r="K214" i="22"/>
  <c r="K215" i="22"/>
  <c r="K216" i="22"/>
  <c r="K217" i="22"/>
  <c r="K218" i="22"/>
  <c r="K219" i="22"/>
  <c r="K220" i="22"/>
  <c r="K221" i="22"/>
  <c r="K222" i="22"/>
  <c r="K223" i="22"/>
  <c r="K224" i="22"/>
  <c r="K225" i="22"/>
  <c r="K226" i="22"/>
  <c r="K227" i="22"/>
  <c r="K228" i="22"/>
  <c r="K229" i="22"/>
  <c r="K230" i="22"/>
  <c r="K231" i="22"/>
  <c r="K232" i="22"/>
  <c r="K233" i="22"/>
  <c r="K234" i="22"/>
  <c r="K235" i="22"/>
  <c r="K236" i="22"/>
  <c r="K237" i="22"/>
  <c r="K238" i="22"/>
  <c r="K239" i="22"/>
  <c r="K240" i="22"/>
  <c r="K241" i="22"/>
  <c r="K242" i="22"/>
  <c r="K243" i="22"/>
  <c r="K244" i="22"/>
  <c r="K245" i="22"/>
  <c r="K246" i="22"/>
  <c r="K247" i="22"/>
  <c r="K248" i="22"/>
  <c r="K249" i="22"/>
  <c r="K250" i="22"/>
  <c r="K251" i="22"/>
  <c r="K252" i="22"/>
  <c r="K253" i="22"/>
  <c r="K254" i="22"/>
  <c r="K255" i="22"/>
  <c r="K256" i="22"/>
  <c r="K257" i="22"/>
  <c r="K258" i="22"/>
  <c r="K259" i="22"/>
  <c r="K260" i="22"/>
  <c r="K261" i="22"/>
  <c r="K262" i="22"/>
  <c r="K263" i="22"/>
  <c r="K264" i="22"/>
  <c r="K265" i="22"/>
  <c r="K266" i="22"/>
  <c r="K267" i="22"/>
  <c r="K268" i="22"/>
  <c r="K269" i="22"/>
  <c r="K270" i="22"/>
  <c r="K271" i="22"/>
  <c r="K272" i="22"/>
  <c r="K273" i="22"/>
  <c r="K274" i="22"/>
  <c r="K275" i="22"/>
  <c r="K276" i="22"/>
  <c r="K277" i="22"/>
  <c r="K278" i="22"/>
  <c r="K279" i="22"/>
  <c r="K280" i="22"/>
  <c r="K281" i="22"/>
  <c r="K282" i="22"/>
  <c r="K283" i="22"/>
  <c r="K284" i="22"/>
  <c r="K285" i="22"/>
  <c r="K286" i="22"/>
  <c r="K287" i="22"/>
  <c r="K288" i="22"/>
  <c r="K289" i="22"/>
  <c r="K290" i="22"/>
  <c r="K291" i="22"/>
  <c r="K292" i="22"/>
  <c r="K293" i="22"/>
  <c r="K294" i="22"/>
  <c r="K295" i="22"/>
  <c r="K296" i="22"/>
  <c r="K297" i="22"/>
  <c r="K298" i="22"/>
  <c r="K299" i="22"/>
  <c r="K300" i="22"/>
  <c r="K301" i="22"/>
  <c r="K302" i="22"/>
  <c r="K303" i="22"/>
  <c r="K304" i="22"/>
  <c r="K305" i="22"/>
  <c r="K306" i="22"/>
  <c r="K307" i="22"/>
  <c r="K308" i="22"/>
  <c r="K309" i="22"/>
  <c r="K310" i="22"/>
  <c r="K311" i="22"/>
  <c r="K312" i="22"/>
  <c r="K313" i="22"/>
  <c r="K314" i="22"/>
  <c r="K315" i="22"/>
  <c r="K316" i="22"/>
  <c r="K317" i="22"/>
  <c r="K318" i="22"/>
  <c r="K319" i="22"/>
  <c r="K320" i="22"/>
  <c r="K321" i="22"/>
  <c r="K322" i="22"/>
  <c r="K323" i="22"/>
  <c r="K324" i="22"/>
  <c r="K325" i="22"/>
  <c r="K326" i="22"/>
  <c r="K327" i="22"/>
  <c r="K328" i="22"/>
  <c r="K329" i="22"/>
  <c r="K330" i="22"/>
  <c r="K331" i="22"/>
  <c r="K332" i="22"/>
  <c r="K333" i="22"/>
  <c r="K334" i="22"/>
  <c r="K335" i="22"/>
  <c r="K336" i="22"/>
  <c r="K337" i="22"/>
  <c r="K338" i="22"/>
  <c r="K339" i="22"/>
  <c r="K340" i="22"/>
  <c r="K341" i="22"/>
  <c r="K342" i="22"/>
  <c r="K343" i="22"/>
  <c r="K344" i="22"/>
  <c r="K345" i="22"/>
  <c r="K346" i="22"/>
  <c r="K347" i="22"/>
  <c r="K348" i="22"/>
  <c r="K349" i="22"/>
  <c r="K350" i="22"/>
  <c r="K351" i="22"/>
  <c r="K352" i="22"/>
  <c r="K353" i="22"/>
  <c r="K354" i="22"/>
  <c r="K355" i="22"/>
  <c r="K356" i="22"/>
  <c r="K357" i="22"/>
  <c r="K358" i="22"/>
  <c r="K359" i="22"/>
  <c r="K360" i="22"/>
  <c r="J13" i="22"/>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T129" i="29"/>
  <c r="T130" i="29"/>
  <c r="T131" i="29"/>
  <c r="N99" i="29"/>
  <c r="N100" i="29"/>
  <c r="N101" i="29"/>
  <c r="N102" i="29"/>
  <c r="N103" i="29"/>
  <c r="N104" i="29"/>
  <c r="N105" i="29"/>
  <c r="N106" i="29"/>
  <c r="N107" i="29"/>
  <c r="N108" i="29"/>
  <c r="N109" i="29"/>
  <c r="N110" i="29"/>
  <c r="N111" i="29"/>
  <c r="N112" i="29"/>
  <c r="N113" i="29"/>
  <c r="N114" i="29"/>
  <c r="N115" i="29"/>
  <c r="N116" i="29"/>
  <c r="N117" i="29"/>
  <c r="N118" i="29"/>
  <c r="N119" i="29"/>
  <c r="N120" i="29"/>
  <c r="N121" i="29"/>
  <c r="N122" i="29"/>
  <c r="N123" i="29"/>
  <c r="N124" i="29"/>
  <c r="N125" i="29"/>
  <c r="N126" i="29"/>
  <c r="N127" i="29"/>
  <c r="N128" i="29"/>
  <c r="N129" i="29"/>
  <c r="N130" i="29"/>
  <c r="N131"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T87" i="29"/>
  <c r="T88" i="29"/>
  <c r="T89" i="29"/>
  <c r="N57" i="29"/>
  <c r="N58" i="29"/>
  <c r="N59" i="29"/>
  <c r="N60" i="29"/>
  <c r="N61" i="29"/>
  <c r="N62" i="29"/>
  <c r="N63" i="29"/>
  <c r="N64" i="29"/>
  <c r="N65" i="29"/>
  <c r="N66" i="29"/>
  <c r="N67" i="29"/>
  <c r="N68" i="29"/>
  <c r="N69" i="29"/>
  <c r="N70" i="29"/>
  <c r="N71" i="29"/>
  <c r="N72" i="29"/>
  <c r="N73" i="29"/>
  <c r="N74" i="29"/>
  <c r="N75" i="29"/>
  <c r="N76" i="29"/>
  <c r="N77" i="29"/>
  <c r="N78" i="29"/>
  <c r="N79" i="29"/>
  <c r="N80" i="29"/>
  <c r="N81" i="29"/>
  <c r="N82" i="29"/>
  <c r="N83" i="29"/>
  <c r="N84" i="29"/>
  <c r="N85" i="29"/>
  <c r="N86" i="29"/>
  <c r="N87" i="29"/>
  <c r="N88" i="29"/>
  <c r="N89"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BR18" i="29"/>
  <c r="BR20" i="29"/>
  <c r="BR22" i="29"/>
  <c r="BR23" i="29"/>
  <c r="BR24" i="29"/>
  <c r="BR26" i="29"/>
  <c r="BR27" i="29"/>
  <c r="BR28" i="29"/>
  <c r="BR29" i="29"/>
  <c r="BR31" i="29"/>
  <c r="BR32" i="29"/>
  <c r="BR33" i="29"/>
  <c r="BR34" i="29"/>
  <c r="BR35" i="29"/>
  <c r="BR36" i="29"/>
  <c r="BR37" i="29"/>
  <c r="BR38" i="29"/>
  <c r="BR39" i="29"/>
  <c r="BR40" i="29"/>
  <c r="BR41" i="29"/>
  <c r="BR42" i="29"/>
  <c r="BR43" i="29"/>
  <c r="BR44" i="29"/>
  <c r="BR45" i="29"/>
  <c r="BR46" i="29"/>
  <c r="BR47" i="29"/>
  <c r="BR48" i="29"/>
  <c r="BR49" i="29"/>
  <c r="BR50" i="29"/>
  <c r="BQ19" i="29"/>
  <c r="BQ21" i="29"/>
  <c r="BQ23" i="29"/>
  <c r="BQ25" i="29"/>
  <c r="BQ26" i="29"/>
  <c r="BQ28" i="29"/>
  <c r="BQ30" i="29"/>
  <c r="BQ31" i="29"/>
  <c r="BQ32" i="29"/>
  <c r="BQ33" i="29"/>
  <c r="BQ34" i="29"/>
  <c r="BQ35" i="29"/>
  <c r="BQ36" i="29"/>
  <c r="BQ37" i="29"/>
  <c r="BQ38" i="29"/>
  <c r="BQ39" i="29"/>
  <c r="BQ40" i="29"/>
  <c r="BQ41" i="29"/>
  <c r="BQ42" i="29"/>
  <c r="BQ43" i="29"/>
  <c r="BQ44" i="29"/>
  <c r="BQ45" i="29"/>
  <c r="BQ46" i="29"/>
  <c r="BQ47" i="29"/>
  <c r="BQ48" i="29"/>
  <c r="BQ49" i="29"/>
  <c r="BQ50" i="29"/>
  <c r="AP18" i="29"/>
  <c r="AP20" i="29"/>
  <c r="AP22" i="29"/>
  <c r="AP24" i="29"/>
  <c r="AP26" i="29"/>
  <c r="AP27" i="29"/>
  <c r="AP28" i="29"/>
  <c r="AP29" i="29"/>
  <c r="AP32" i="29"/>
  <c r="AP33" i="29"/>
  <c r="AP34" i="29"/>
  <c r="AP35" i="29"/>
  <c r="AP36" i="29"/>
  <c r="AP37" i="29"/>
  <c r="AP38" i="29"/>
  <c r="AP39" i="29"/>
  <c r="AP40" i="29"/>
  <c r="AP41" i="29"/>
  <c r="AP42" i="29"/>
  <c r="AP43" i="29"/>
  <c r="AP44" i="29"/>
  <c r="AP45" i="29"/>
  <c r="AP46" i="29"/>
  <c r="AP47" i="29"/>
  <c r="AP48" i="29"/>
  <c r="AP49" i="29"/>
  <c r="AP50" i="29"/>
  <c r="AO19" i="29"/>
  <c r="AO21" i="29"/>
  <c r="AO23" i="29"/>
  <c r="AO25" i="29"/>
  <c r="AO26" i="29"/>
  <c r="AO27" i="29"/>
  <c r="AO28" i="29"/>
  <c r="AO30" i="29"/>
  <c r="AO31" i="29"/>
  <c r="AO32" i="29"/>
  <c r="AO33" i="29"/>
  <c r="AO34" i="29"/>
  <c r="AO35" i="29"/>
  <c r="AO36" i="29"/>
  <c r="AO37" i="29"/>
  <c r="AO38" i="29"/>
  <c r="AO39" i="29"/>
  <c r="AO40" i="29"/>
  <c r="AO41" i="29"/>
  <c r="AO42" i="29"/>
  <c r="AO43" i="29"/>
  <c r="AO44" i="29"/>
  <c r="AO45" i="29"/>
  <c r="AO46" i="29"/>
  <c r="AO47" i="29"/>
  <c r="AO48" i="29"/>
  <c r="AO49" i="29"/>
  <c r="AO50" i="29"/>
  <c r="AI18" i="29"/>
  <c r="AI20" i="29"/>
  <c r="AI21" i="29"/>
  <c r="AI22" i="29"/>
  <c r="AI24" i="29"/>
  <c r="AI26" i="29"/>
  <c r="AI27" i="29"/>
  <c r="AI28" i="29"/>
  <c r="AI29" i="29"/>
  <c r="AI32" i="29"/>
  <c r="AI33" i="29"/>
  <c r="AI34" i="29"/>
  <c r="AI35" i="29"/>
  <c r="AI36" i="29"/>
  <c r="AI37" i="29"/>
  <c r="AI38" i="29"/>
  <c r="AI39" i="29"/>
  <c r="AI40" i="29"/>
  <c r="AI41" i="29"/>
  <c r="AI42" i="29"/>
  <c r="AI43" i="29"/>
  <c r="AI44" i="29"/>
  <c r="AI45" i="29"/>
  <c r="AI46" i="29"/>
  <c r="AI47" i="29"/>
  <c r="AI48" i="29"/>
  <c r="AI49" i="29"/>
  <c r="AI50" i="29"/>
  <c r="AH19" i="29"/>
  <c r="AH20" i="29"/>
  <c r="AH21" i="29"/>
  <c r="AH23" i="29"/>
  <c r="AH25" i="29"/>
  <c r="AH26" i="29"/>
  <c r="AH28" i="29"/>
  <c r="AH30" i="29"/>
  <c r="AH31" i="29"/>
  <c r="AH32" i="29"/>
  <c r="AH33" i="29"/>
  <c r="AH34" i="29"/>
  <c r="AH35" i="29"/>
  <c r="AH36" i="29"/>
  <c r="AH37" i="29"/>
  <c r="AH38" i="29"/>
  <c r="AH39" i="29"/>
  <c r="AH40" i="29"/>
  <c r="AH41" i="29"/>
  <c r="AH42" i="29"/>
  <c r="AH43" i="29"/>
  <c r="AH44" i="29"/>
  <c r="AH45" i="29"/>
  <c r="AH46" i="29"/>
  <c r="AH47" i="29"/>
  <c r="AH48" i="29"/>
  <c r="AH49" i="29"/>
  <c r="AH50" i="29"/>
  <c r="AB18" i="29"/>
  <c r="AB19" i="29"/>
  <c r="AB20" i="29"/>
  <c r="AB21" i="29"/>
  <c r="AB22" i="29"/>
  <c r="AB24" i="29"/>
  <c r="AB26" i="29"/>
  <c r="AB27" i="29"/>
  <c r="AB29" i="29"/>
  <c r="AB32" i="29"/>
  <c r="AB33" i="29"/>
  <c r="AB34" i="29"/>
  <c r="AB35" i="29"/>
  <c r="AB36" i="29"/>
  <c r="AB37" i="29"/>
  <c r="AB38" i="29"/>
  <c r="AB39" i="29"/>
  <c r="AB40" i="29"/>
  <c r="AB41" i="29"/>
  <c r="AB42" i="29"/>
  <c r="AB43" i="29"/>
  <c r="AB44" i="29"/>
  <c r="AB45" i="29"/>
  <c r="AB46" i="29"/>
  <c r="AB47" i="29"/>
  <c r="AB48" i="29"/>
  <c r="AB49" i="29"/>
  <c r="AB50" i="29"/>
  <c r="AA19" i="29"/>
  <c r="AA21" i="29"/>
  <c r="AA23" i="29"/>
  <c r="AA25" i="29"/>
  <c r="AA26" i="29"/>
  <c r="AA28" i="29"/>
  <c r="AA30" i="29"/>
  <c r="AA31" i="29"/>
  <c r="AA32" i="29"/>
  <c r="AA33" i="29"/>
  <c r="AA34" i="29"/>
  <c r="AA35" i="29"/>
  <c r="AA36" i="29"/>
  <c r="AA37" i="29"/>
  <c r="AA38" i="29"/>
  <c r="AA39" i="29"/>
  <c r="AA40" i="29"/>
  <c r="AA41" i="29"/>
  <c r="AA42" i="29"/>
  <c r="AA43" i="29"/>
  <c r="AA44" i="29"/>
  <c r="AA45" i="29"/>
  <c r="AA46" i="29"/>
  <c r="AA47" i="29"/>
  <c r="AA48" i="29"/>
  <c r="AA49" i="29"/>
  <c r="AA50" i="29"/>
  <c r="U18" i="29"/>
  <c r="U20" i="29"/>
  <c r="U22" i="29"/>
  <c r="U24" i="29"/>
  <c r="U26" i="29"/>
  <c r="U27" i="29"/>
  <c r="U29" i="29"/>
  <c r="U32" i="29"/>
  <c r="U33" i="29"/>
  <c r="U34" i="29"/>
  <c r="U35" i="29"/>
  <c r="U36" i="29"/>
  <c r="U37" i="29"/>
  <c r="U38" i="29"/>
  <c r="U39" i="29"/>
  <c r="U40" i="29"/>
  <c r="U41" i="29"/>
  <c r="U42" i="29"/>
  <c r="U43" i="29"/>
  <c r="U44" i="29"/>
  <c r="U45" i="29"/>
  <c r="U46" i="29"/>
  <c r="U47" i="29"/>
  <c r="U48" i="29"/>
  <c r="U49" i="29"/>
  <c r="U50" i="29"/>
  <c r="T19" i="29"/>
  <c r="T21" i="29"/>
  <c r="T23" i="29"/>
  <c r="T25" i="29"/>
  <c r="T26" i="29"/>
  <c r="T28" i="29"/>
  <c r="T29" i="29"/>
  <c r="T30" i="29"/>
  <c r="T31" i="29"/>
  <c r="T32" i="29"/>
  <c r="T33" i="29"/>
  <c r="T34" i="29"/>
  <c r="T35" i="29"/>
  <c r="T36" i="29"/>
  <c r="T37" i="29"/>
  <c r="T38" i="29"/>
  <c r="T39" i="29"/>
  <c r="T40" i="29"/>
  <c r="T41" i="29"/>
  <c r="T42" i="29"/>
  <c r="T43" i="29"/>
  <c r="T44" i="29"/>
  <c r="T45" i="29"/>
  <c r="T46" i="29"/>
  <c r="T47" i="29"/>
  <c r="T48" i="29"/>
  <c r="T49" i="29"/>
  <c r="T50" i="29"/>
  <c r="N18" i="29"/>
  <c r="N20" i="29"/>
  <c r="N22" i="29"/>
  <c r="N24" i="29"/>
  <c r="N26" i="29"/>
  <c r="N27" i="29"/>
  <c r="N29" i="29"/>
  <c r="N30" i="29"/>
  <c r="N32" i="29"/>
  <c r="N33" i="29"/>
  <c r="N34" i="29"/>
  <c r="N35" i="29"/>
  <c r="N36" i="29"/>
  <c r="N37" i="29"/>
  <c r="N38" i="29"/>
  <c r="N39" i="29"/>
  <c r="N40" i="29"/>
  <c r="N41" i="29"/>
  <c r="N42" i="29"/>
  <c r="N43" i="29"/>
  <c r="N44" i="29"/>
  <c r="N45" i="29"/>
  <c r="N46" i="29"/>
  <c r="N47" i="29"/>
  <c r="N48" i="29"/>
  <c r="N49" i="29"/>
  <c r="N50" i="29"/>
  <c r="M19" i="29"/>
  <c r="M21" i="29"/>
  <c r="M23" i="29"/>
  <c r="M25" i="29"/>
  <c r="M26" i="29"/>
  <c r="M28" i="29"/>
  <c r="M29" i="29"/>
  <c r="M30" i="29"/>
  <c r="M31" i="29"/>
  <c r="M32" i="29"/>
  <c r="M33" i="29"/>
  <c r="M34" i="29"/>
  <c r="M35" i="29"/>
  <c r="M36" i="29"/>
  <c r="M37" i="29"/>
  <c r="M38" i="29"/>
  <c r="M39" i="29"/>
  <c r="M40" i="29"/>
  <c r="M41" i="29"/>
  <c r="M42" i="29"/>
  <c r="M43" i="29"/>
  <c r="M44" i="29"/>
  <c r="M45" i="29"/>
  <c r="M46" i="29"/>
  <c r="M47" i="29"/>
  <c r="M48" i="29"/>
  <c r="M49" i="29"/>
  <c r="M50" i="29"/>
  <c r="G18" i="29"/>
  <c r="G20" i="29"/>
  <c r="G22" i="29"/>
  <c r="G24" i="29"/>
  <c r="G25" i="29"/>
  <c r="G26" i="29"/>
  <c r="G27" i="29"/>
  <c r="G29" i="29"/>
  <c r="G32" i="29"/>
  <c r="G33" i="29"/>
  <c r="G34" i="29"/>
  <c r="G35" i="29"/>
  <c r="G36" i="29"/>
  <c r="G37" i="29"/>
  <c r="G38" i="29"/>
  <c r="G39" i="29"/>
  <c r="G40" i="29"/>
  <c r="G41" i="29"/>
  <c r="G42" i="29"/>
  <c r="G43" i="29"/>
  <c r="G44" i="29"/>
  <c r="G45" i="29"/>
  <c r="G46" i="29"/>
  <c r="G47" i="29"/>
  <c r="G48" i="29"/>
  <c r="G49" i="29"/>
  <c r="G50" i="29"/>
  <c r="F19" i="29"/>
  <c r="F21" i="29"/>
  <c r="F23" i="29"/>
  <c r="F24" i="29"/>
  <c r="F25" i="29"/>
  <c r="F26" i="29"/>
  <c r="F28" i="29"/>
  <c r="F30" i="29"/>
  <c r="F31" i="29"/>
  <c r="F32" i="29"/>
  <c r="F33" i="29"/>
  <c r="F34" i="29"/>
  <c r="F35" i="29"/>
  <c r="F36" i="29"/>
  <c r="F37" i="29"/>
  <c r="F38" i="29"/>
  <c r="F39" i="29"/>
  <c r="F40" i="29"/>
  <c r="F41" i="29"/>
  <c r="F42" i="29"/>
  <c r="F43" i="29"/>
  <c r="F44" i="29"/>
  <c r="F45" i="29"/>
  <c r="F46" i="29"/>
  <c r="F47" i="29"/>
  <c r="F48" i="29"/>
  <c r="F49" i="29"/>
  <c r="F50"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129" i="29"/>
  <c r="S130" i="29"/>
  <c r="S131"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S87" i="29"/>
  <c r="S88" i="29"/>
  <c r="S89"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BP18" i="29"/>
  <c r="BQ18" i="29" s="1"/>
  <c r="BP19" i="29"/>
  <c r="BR19" i="29" s="1"/>
  <c r="BP20" i="29"/>
  <c r="BQ20" i="29" s="1"/>
  <c r="BP21" i="29"/>
  <c r="BR21" i="29" s="1"/>
  <c r="BP22" i="29"/>
  <c r="BQ22" i="29" s="1"/>
  <c r="BP23" i="29"/>
  <c r="BP24" i="29"/>
  <c r="BQ24" i="29" s="1"/>
  <c r="BP25" i="29"/>
  <c r="BR25" i="29" s="1"/>
  <c r="BP26" i="29"/>
  <c r="BP27" i="29"/>
  <c r="BQ27" i="29" s="1"/>
  <c r="BP28" i="29"/>
  <c r="BP29" i="29"/>
  <c r="BQ29" i="29" s="1"/>
  <c r="BP30" i="29"/>
  <c r="BR30" i="29" s="1"/>
  <c r="BP31" i="29"/>
  <c r="BP32" i="29"/>
  <c r="BP33" i="29"/>
  <c r="BP34" i="29"/>
  <c r="BP35" i="29"/>
  <c r="BP36" i="29"/>
  <c r="BP37" i="29"/>
  <c r="BP38" i="29"/>
  <c r="BP39" i="29"/>
  <c r="BP40" i="29"/>
  <c r="BP41" i="29"/>
  <c r="BP42" i="29"/>
  <c r="BP43" i="29"/>
  <c r="BP44" i="29"/>
  <c r="BP45" i="29"/>
  <c r="BP46" i="29"/>
  <c r="BP47" i="29"/>
  <c r="BP48" i="29"/>
  <c r="BP49" i="29"/>
  <c r="BP50" i="29"/>
  <c r="AN18" i="29"/>
  <c r="AO18" i="29" s="1"/>
  <c r="AN19" i="29"/>
  <c r="AP19" i="29" s="1"/>
  <c r="AN20" i="29"/>
  <c r="AO20" i="29" s="1"/>
  <c r="AN21" i="29"/>
  <c r="AP21" i="29" s="1"/>
  <c r="AN22" i="29"/>
  <c r="AO22" i="29" s="1"/>
  <c r="AN23" i="29"/>
  <c r="AP23" i="29" s="1"/>
  <c r="AN24" i="29"/>
  <c r="AO24" i="29" s="1"/>
  <c r="AN25" i="29"/>
  <c r="AP25" i="29" s="1"/>
  <c r="AN26" i="29"/>
  <c r="AN27" i="29"/>
  <c r="AN28" i="29"/>
  <c r="AN29" i="29"/>
  <c r="AO29" i="29" s="1"/>
  <c r="AN30" i="29"/>
  <c r="AP30" i="29" s="1"/>
  <c r="AN31" i="29"/>
  <c r="AP31" i="29" s="1"/>
  <c r="AN32" i="29"/>
  <c r="AN33" i="29"/>
  <c r="AN34" i="29"/>
  <c r="AN35" i="29"/>
  <c r="AN36" i="29"/>
  <c r="AN37" i="29"/>
  <c r="AN38" i="29"/>
  <c r="AN39" i="29"/>
  <c r="AN40" i="29"/>
  <c r="AN41" i="29"/>
  <c r="AN42" i="29"/>
  <c r="AN43" i="29"/>
  <c r="AN44" i="29"/>
  <c r="AN45" i="29"/>
  <c r="AN46" i="29"/>
  <c r="AN47" i="29"/>
  <c r="AN48" i="29"/>
  <c r="AN49" i="29"/>
  <c r="AN50" i="29"/>
  <c r="AG18" i="29"/>
  <c r="AH18" i="29" s="1"/>
  <c r="AG19" i="29"/>
  <c r="AI19" i="29" s="1"/>
  <c r="AG20" i="29"/>
  <c r="AG21" i="29"/>
  <c r="AG22" i="29"/>
  <c r="AH22" i="29" s="1"/>
  <c r="AG23" i="29"/>
  <c r="AI23" i="29" s="1"/>
  <c r="AG24" i="29"/>
  <c r="AH24" i="29" s="1"/>
  <c r="AG25" i="29"/>
  <c r="AI25" i="29" s="1"/>
  <c r="AG26" i="29"/>
  <c r="AG27" i="29"/>
  <c r="AH27" i="29" s="1"/>
  <c r="AG28" i="29"/>
  <c r="AG29" i="29"/>
  <c r="AH29" i="29" s="1"/>
  <c r="AG30" i="29"/>
  <c r="AI30" i="29" s="1"/>
  <c r="AG31" i="29"/>
  <c r="AI31" i="29" s="1"/>
  <c r="AG32" i="29"/>
  <c r="AG33" i="29"/>
  <c r="AG34" i="29"/>
  <c r="AG35" i="29"/>
  <c r="AG36" i="29"/>
  <c r="AG37" i="29"/>
  <c r="AG38" i="29"/>
  <c r="AG39" i="29"/>
  <c r="AG40" i="29"/>
  <c r="AG41" i="29"/>
  <c r="AG42" i="29"/>
  <c r="AG43" i="29"/>
  <c r="AG44" i="29"/>
  <c r="AG45" i="29"/>
  <c r="AG46" i="29"/>
  <c r="AG47" i="29"/>
  <c r="AG48" i="29"/>
  <c r="AG49" i="29"/>
  <c r="AG50" i="29"/>
  <c r="Z18" i="29"/>
  <c r="AA18" i="29" s="1"/>
  <c r="Z19" i="29"/>
  <c r="Z20" i="29"/>
  <c r="AA20" i="29" s="1"/>
  <c r="Z21" i="29"/>
  <c r="Z22" i="29"/>
  <c r="AA22" i="29" s="1"/>
  <c r="Z23" i="29"/>
  <c r="AB23" i="29" s="1"/>
  <c r="Z24" i="29"/>
  <c r="AA24" i="29" s="1"/>
  <c r="Z25" i="29"/>
  <c r="AB25" i="29" s="1"/>
  <c r="Z26" i="29"/>
  <c r="Z27" i="29"/>
  <c r="AA27" i="29" s="1"/>
  <c r="Z28" i="29"/>
  <c r="AB28" i="29" s="1"/>
  <c r="Z29" i="29"/>
  <c r="AA29" i="29" s="1"/>
  <c r="Z30" i="29"/>
  <c r="AB30" i="29" s="1"/>
  <c r="Z31" i="29"/>
  <c r="AB31" i="29" s="1"/>
  <c r="Z32" i="29"/>
  <c r="Z33" i="29"/>
  <c r="Z34" i="29"/>
  <c r="Z35" i="29"/>
  <c r="Z36" i="29"/>
  <c r="Z37" i="29"/>
  <c r="Z38" i="29"/>
  <c r="Z39" i="29"/>
  <c r="Z40" i="29"/>
  <c r="Z41" i="29"/>
  <c r="Z42" i="29"/>
  <c r="Z43" i="29"/>
  <c r="Z44" i="29"/>
  <c r="Z45" i="29"/>
  <c r="Z46" i="29"/>
  <c r="Z47" i="29"/>
  <c r="Z48" i="29"/>
  <c r="Z49" i="29"/>
  <c r="Z50" i="29"/>
  <c r="S18" i="29"/>
  <c r="T18" i="29" s="1"/>
  <c r="S19" i="29"/>
  <c r="U19" i="29" s="1"/>
  <c r="S20" i="29"/>
  <c r="T20" i="29" s="1"/>
  <c r="S21" i="29"/>
  <c r="U21" i="29" s="1"/>
  <c r="S22" i="29"/>
  <c r="T22" i="29" s="1"/>
  <c r="S23" i="29"/>
  <c r="U23" i="29" s="1"/>
  <c r="S24" i="29"/>
  <c r="T24" i="29" s="1"/>
  <c r="S25" i="29"/>
  <c r="U25" i="29" s="1"/>
  <c r="S26" i="29"/>
  <c r="S27" i="29"/>
  <c r="T27" i="29" s="1"/>
  <c r="S28" i="29"/>
  <c r="U28" i="29" s="1"/>
  <c r="S29" i="29"/>
  <c r="S30" i="29"/>
  <c r="U30" i="29" s="1"/>
  <c r="S31" i="29"/>
  <c r="U31" i="29" s="1"/>
  <c r="S32" i="29"/>
  <c r="S33" i="29"/>
  <c r="S34" i="29"/>
  <c r="S35" i="29"/>
  <c r="S36" i="29"/>
  <c r="S37" i="29"/>
  <c r="S38" i="29"/>
  <c r="S39" i="29"/>
  <c r="S40" i="29"/>
  <c r="S41" i="29"/>
  <c r="S42" i="29"/>
  <c r="S43" i="29"/>
  <c r="S44" i="29"/>
  <c r="S45" i="29"/>
  <c r="S46" i="29"/>
  <c r="S47" i="29"/>
  <c r="S48" i="29"/>
  <c r="S49" i="29"/>
  <c r="S50" i="29"/>
  <c r="L18" i="29"/>
  <c r="M18" i="29" s="1"/>
  <c r="L19" i="29"/>
  <c r="N19" i="29" s="1"/>
  <c r="L20" i="29"/>
  <c r="M20" i="29" s="1"/>
  <c r="L21" i="29"/>
  <c r="N21" i="29" s="1"/>
  <c r="L22" i="29"/>
  <c r="M22" i="29" s="1"/>
  <c r="L23" i="29"/>
  <c r="N23" i="29" s="1"/>
  <c r="L24" i="29"/>
  <c r="M24" i="29" s="1"/>
  <c r="L25" i="29"/>
  <c r="N25" i="29" s="1"/>
  <c r="L26" i="29"/>
  <c r="L27" i="29"/>
  <c r="M27" i="29" s="1"/>
  <c r="L28" i="29"/>
  <c r="N28" i="29" s="1"/>
  <c r="L29" i="29"/>
  <c r="L30" i="29"/>
  <c r="L31" i="29"/>
  <c r="N31" i="29" s="1"/>
  <c r="L32" i="29"/>
  <c r="L33" i="29"/>
  <c r="L34" i="29"/>
  <c r="L35" i="29"/>
  <c r="L36" i="29"/>
  <c r="L37" i="29"/>
  <c r="L38" i="29"/>
  <c r="L39" i="29"/>
  <c r="L40" i="29"/>
  <c r="L41" i="29"/>
  <c r="L42" i="29"/>
  <c r="L43" i="29"/>
  <c r="L44" i="29"/>
  <c r="L45" i="29"/>
  <c r="L46" i="29"/>
  <c r="L47" i="29"/>
  <c r="L48" i="29"/>
  <c r="L49" i="29"/>
  <c r="L50" i="29"/>
  <c r="E18" i="29"/>
  <c r="F18" i="29" s="1"/>
  <c r="E19" i="29"/>
  <c r="G19" i="29" s="1"/>
  <c r="E20" i="29"/>
  <c r="F20" i="29" s="1"/>
  <c r="E21" i="29"/>
  <c r="G21" i="29" s="1"/>
  <c r="E22" i="29"/>
  <c r="F22" i="29" s="1"/>
  <c r="E23" i="29"/>
  <c r="G23" i="29" s="1"/>
  <c r="E24" i="29"/>
  <c r="E25" i="29"/>
  <c r="E26" i="29"/>
  <c r="E27" i="29"/>
  <c r="F27" i="29" s="1"/>
  <c r="E28" i="29"/>
  <c r="G28" i="29" s="1"/>
  <c r="E29" i="29"/>
  <c r="F29" i="29" s="1"/>
  <c r="E30" i="29"/>
  <c r="G30" i="29" s="1"/>
  <c r="E31" i="29"/>
  <c r="G31" i="29" s="1"/>
  <c r="E32" i="29"/>
  <c r="E33" i="29"/>
  <c r="E34" i="29"/>
  <c r="E35" i="29"/>
  <c r="E36" i="29"/>
  <c r="E37" i="29"/>
  <c r="E38" i="29"/>
  <c r="E39" i="29"/>
  <c r="E40" i="29"/>
  <c r="E41" i="29"/>
  <c r="E42" i="29"/>
  <c r="E43" i="29"/>
  <c r="E44" i="29"/>
  <c r="E45" i="29"/>
  <c r="E46" i="29"/>
  <c r="E47" i="29"/>
  <c r="E48" i="29"/>
  <c r="E49" i="29"/>
  <c r="E50" i="29"/>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S99" i="27"/>
  <c r="S100" i="27"/>
  <c r="S101" i="27"/>
  <c r="S102" i="27"/>
  <c r="S103" i="27"/>
  <c r="S104" i="27"/>
  <c r="S105" i="27"/>
  <c r="S106" i="27"/>
  <c r="S107" i="27"/>
  <c r="S108" i="27"/>
  <c r="S109" i="27"/>
  <c r="S110" i="27"/>
  <c r="S111" i="27"/>
  <c r="S112" i="27"/>
  <c r="S113" i="27"/>
  <c r="S114" i="27"/>
  <c r="S115" i="27"/>
  <c r="S116" i="27"/>
  <c r="S117" i="27"/>
  <c r="S118" i="27"/>
  <c r="S119" i="27"/>
  <c r="S120" i="27"/>
  <c r="S121" i="27"/>
  <c r="S122" i="27"/>
  <c r="S123" i="27"/>
  <c r="S124" i="27"/>
  <c r="S125" i="27"/>
  <c r="S126" i="27"/>
  <c r="S127" i="27"/>
  <c r="S128" i="27"/>
  <c r="S129" i="27"/>
  <c r="S130" i="27"/>
  <c r="S131"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BP18" i="27"/>
  <c r="BQ18" i="27" s="1"/>
  <c r="BP19" i="27"/>
  <c r="BR19" i="27" s="1"/>
  <c r="BP20" i="27"/>
  <c r="BP21" i="27"/>
  <c r="BP22" i="27"/>
  <c r="BP23" i="27"/>
  <c r="BP24" i="27"/>
  <c r="BP25" i="27"/>
  <c r="BR25" i="27" s="1"/>
  <c r="BP26" i="27"/>
  <c r="BP27" i="27"/>
  <c r="BQ27" i="27" s="1"/>
  <c r="BP28" i="27"/>
  <c r="BP29" i="27"/>
  <c r="BP30" i="27"/>
  <c r="BP31" i="27"/>
  <c r="BP32" i="27"/>
  <c r="BP33" i="27"/>
  <c r="BP34" i="27"/>
  <c r="BP35" i="27"/>
  <c r="BP36" i="27"/>
  <c r="BP37" i="27"/>
  <c r="BP38" i="27"/>
  <c r="BP39" i="27"/>
  <c r="BP40" i="27"/>
  <c r="BP41" i="27"/>
  <c r="BP42" i="27"/>
  <c r="BP43" i="27"/>
  <c r="BP44" i="27"/>
  <c r="BP45" i="27"/>
  <c r="BP46" i="27"/>
  <c r="BP47" i="27"/>
  <c r="BP48" i="27"/>
  <c r="BP49" i="27"/>
  <c r="BP50" i="27"/>
  <c r="AN18" i="27"/>
  <c r="AO18" i="27" s="1"/>
  <c r="AN19" i="27"/>
  <c r="AN20" i="27"/>
  <c r="AN21" i="27"/>
  <c r="AN22" i="27"/>
  <c r="AN23" i="27"/>
  <c r="AN24" i="27"/>
  <c r="AN25" i="27"/>
  <c r="AP25" i="27" s="1"/>
  <c r="AN26" i="27"/>
  <c r="AN27" i="27"/>
  <c r="AN28" i="27"/>
  <c r="AN29" i="27"/>
  <c r="AN30" i="27"/>
  <c r="AN31" i="27"/>
  <c r="AN32" i="27"/>
  <c r="AN33" i="27"/>
  <c r="AN34" i="27"/>
  <c r="AN35" i="27"/>
  <c r="AN36" i="27"/>
  <c r="AN37" i="27"/>
  <c r="AN38" i="27"/>
  <c r="AN39" i="27"/>
  <c r="AN40" i="27"/>
  <c r="AN41" i="27"/>
  <c r="AN42" i="27"/>
  <c r="AN43" i="27"/>
  <c r="AN44" i="27"/>
  <c r="AN45" i="27"/>
  <c r="AN46" i="27"/>
  <c r="AN47" i="27"/>
  <c r="AN48" i="27"/>
  <c r="AN49" i="27"/>
  <c r="AN50" i="27"/>
  <c r="AG18" i="27"/>
  <c r="AG19" i="27"/>
  <c r="AG20" i="27"/>
  <c r="AG21" i="27"/>
  <c r="AG22" i="27"/>
  <c r="AH22" i="27" s="1"/>
  <c r="AG23" i="27"/>
  <c r="AI23" i="27" s="1"/>
  <c r="AG24" i="27"/>
  <c r="AG25" i="27"/>
  <c r="AG26" i="27"/>
  <c r="AG27" i="27"/>
  <c r="AG28" i="27"/>
  <c r="AG29" i="27"/>
  <c r="AG30" i="27"/>
  <c r="AI30" i="27" s="1"/>
  <c r="AG31" i="27"/>
  <c r="AI31" i="27" s="1"/>
  <c r="AG32" i="27"/>
  <c r="AG33" i="27"/>
  <c r="AG34" i="27"/>
  <c r="AG35" i="27"/>
  <c r="AG36" i="27"/>
  <c r="AG37" i="27"/>
  <c r="AG38" i="27"/>
  <c r="AG39" i="27"/>
  <c r="AG40" i="27"/>
  <c r="AG41" i="27"/>
  <c r="AG42" i="27"/>
  <c r="AG43" i="27"/>
  <c r="AG44" i="27"/>
  <c r="AG45" i="27"/>
  <c r="AG46" i="27"/>
  <c r="AG47" i="27"/>
  <c r="AG48" i="27"/>
  <c r="AG49" i="27"/>
  <c r="AG50" i="27"/>
  <c r="Z18" i="27"/>
  <c r="Z19" i="27"/>
  <c r="Z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Z48" i="27"/>
  <c r="Z49" i="27"/>
  <c r="Z50" i="27"/>
  <c r="S18" i="27"/>
  <c r="S19" i="27"/>
  <c r="S20" i="27"/>
  <c r="S21" i="27"/>
  <c r="S22" i="27"/>
  <c r="S23" i="27"/>
  <c r="S24" i="27"/>
  <c r="S25" i="27"/>
  <c r="S26" i="27"/>
  <c r="S27" i="27"/>
  <c r="S28" i="27"/>
  <c r="S29" i="27"/>
  <c r="T29" i="27" s="1"/>
  <c r="S30" i="27"/>
  <c r="S31" i="27"/>
  <c r="S32" i="27"/>
  <c r="S33" i="27"/>
  <c r="S34" i="27"/>
  <c r="S35" i="27"/>
  <c r="S36" i="27"/>
  <c r="S37" i="27"/>
  <c r="S38" i="27"/>
  <c r="S39" i="27"/>
  <c r="S40" i="27"/>
  <c r="S41" i="27"/>
  <c r="S42" i="27"/>
  <c r="S43" i="27"/>
  <c r="S44" i="27"/>
  <c r="S45" i="27"/>
  <c r="S46" i="27"/>
  <c r="S47" i="27"/>
  <c r="S48" i="27"/>
  <c r="S49" i="27"/>
  <c r="S50" i="27"/>
  <c r="L18" i="27"/>
  <c r="L19" i="27"/>
  <c r="L20" i="27"/>
  <c r="M20" i="27" s="1"/>
  <c r="L21" i="27"/>
  <c r="L22" i="27"/>
  <c r="L23" i="27"/>
  <c r="L24" i="27"/>
  <c r="L25" i="27"/>
  <c r="M25" i="27" s="1"/>
  <c r="L26" i="27"/>
  <c r="L27" i="27"/>
  <c r="M27" i="27" s="1"/>
  <c r="L28" i="27"/>
  <c r="N28" i="27" s="1"/>
  <c r="L29" i="27"/>
  <c r="L30" i="27"/>
  <c r="L31" i="27"/>
  <c r="L32" i="27"/>
  <c r="N32" i="27" s="1"/>
  <c r="L33" i="27"/>
  <c r="N33" i="27" s="1"/>
  <c r="L34" i="27"/>
  <c r="M34" i="27" s="1"/>
  <c r="L35" i="27"/>
  <c r="L36" i="27"/>
  <c r="L37" i="27"/>
  <c r="L38" i="27"/>
  <c r="L39" i="27"/>
  <c r="L40" i="27"/>
  <c r="L41" i="27"/>
  <c r="L42" i="27"/>
  <c r="L43" i="27"/>
  <c r="L44" i="27"/>
  <c r="L45" i="27"/>
  <c r="L46" i="27"/>
  <c r="L47" i="27"/>
  <c r="L48" i="27"/>
  <c r="L49" i="27"/>
  <c r="L50" i="27"/>
  <c r="E18" i="27"/>
  <c r="E19" i="27"/>
  <c r="E20" i="27"/>
  <c r="F20" i="27" s="1"/>
  <c r="E21" i="27"/>
  <c r="G21" i="27" s="1"/>
  <c r="E22" i="27"/>
  <c r="E23" i="27"/>
  <c r="G23" i="27" s="1"/>
  <c r="E24" i="27"/>
  <c r="G24" i="27" s="1"/>
  <c r="E25" i="27"/>
  <c r="F25" i="27" s="1"/>
  <c r="E26" i="27"/>
  <c r="E27" i="27"/>
  <c r="E28" i="27"/>
  <c r="G28" i="27" s="1"/>
  <c r="E29" i="27"/>
  <c r="F29" i="27" s="1"/>
  <c r="E30" i="27"/>
  <c r="E31" i="27"/>
  <c r="G31" i="27" s="1"/>
  <c r="E32" i="27"/>
  <c r="G32" i="27" s="1"/>
  <c r="E33" i="27"/>
  <c r="G33" i="27" s="1"/>
  <c r="E34" i="27"/>
  <c r="E35" i="27"/>
  <c r="E36" i="27"/>
  <c r="E37" i="27"/>
  <c r="E38" i="27"/>
  <c r="E39" i="27"/>
  <c r="E40" i="27"/>
  <c r="E41" i="27"/>
  <c r="E42" i="27"/>
  <c r="E43" i="27"/>
  <c r="E44" i="27"/>
  <c r="E45" i="27"/>
  <c r="E46" i="27"/>
  <c r="E47" i="27"/>
  <c r="E48" i="27"/>
  <c r="E49" i="27"/>
  <c r="E50" i="2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127" i="17"/>
  <c r="S128" i="17"/>
  <c r="S129" i="17"/>
  <c r="S130" i="17"/>
  <c r="S131" i="17"/>
  <c r="S57" i="17"/>
  <c r="S58" i="17"/>
  <c r="S59" i="17"/>
  <c r="S60" i="17"/>
  <c r="S61" i="17"/>
  <c r="S62" i="17"/>
  <c r="S63" i="17"/>
  <c r="S64" i="17"/>
  <c r="S65" i="17"/>
  <c r="S66" i="17"/>
  <c r="S67" i="17"/>
  <c r="S68" i="17"/>
  <c r="S69" i="17"/>
  <c r="S70" i="17"/>
  <c r="S71" i="17"/>
  <c r="S72" i="17"/>
  <c r="S73" i="17"/>
  <c r="S74" i="17"/>
  <c r="S75" i="17"/>
  <c r="S76" i="17"/>
  <c r="S77" i="17"/>
  <c r="S78" i="17"/>
  <c r="S79" i="17"/>
  <c r="S80" i="17"/>
  <c r="S81" i="17"/>
  <c r="S82" i="17"/>
  <c r="S83" i="17"/>
  <c r="S84" i="17"/>
  <c r="S85" i="17"/>
  <c r="S86" i="17"/>
  <c r="S87" i="17"/>
  <c r="S88" i="17"/>
  <c r="S89"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L87" i="17"/>
  <c r="L88" i="17"/>
  <c r="L89" i="17"/>
  <c r="BP18" i="17"/>
  <c r="BP19" i="17"/>
  <c r="BP20" i="17"/>
  <c r="BP21" i="17"/>
  <c r="BR21" i="17" s="1"/>
  <c r="BP22" i="17"/>
  <c r="BP23" i="17"/>
  <c r="BR23" i="17" s="1"/>
  <c r="BP24" i="17"/>
  <c r="BP25" i="17"/>
  <c r="BP26" i="17"/>
  <c r="BP27" i="17"/>
  <c r="BP28" i="17"/>
  <c r="BP29" i="17"/>
  <c r="BQ29" i="17" s="1"/>
  <c r="BP30" i="17"/>
  <c r="BP31" i="17"/>
  <c r="BR31" i="17" s="1"/>
  <c r="BP32" i="17"/>
  <c r="BP33" i="17"/>
  <c r="BP34" i="17"/>
  <c r="BP35" i="17"/>
  <c r="BP36" i="17"/>
  <c r="BP37" i="17"/>
  <c r="BP38" i="17"/>
  <c r="BP39" i="17"/>
  <c r="BP40" i="17"/>
  <c r="BP41" i="17"/>
  <c r="BP42" i="17"/>
  <c r="BP43" i="17"/>
  <c r="BP44" i="17"/>
  <c r="BP45" i="17"/>
  <c r="BP46" i="17"/>
  <c r="BP47" i="17"/>
  <c r="BP48" i="17"/>
  <c r="BP49" i="17"/>
  <c r="BP50" i="17"/>
  <c r="AN18" i="17"/>
  <c r="AN19" i="17"/>
  <c r="AN20" i="17"/>
  <c r="AN21" i="17"/>
  <c r="AN22" i="17"/>
  <c r="AO22" i="17" s="1"/>
  <c r="AN23" i="17"/>
  <c r="AN24" i="17"/>
  <c r="AN25" i="17"/>
  <c r="AN26" i="17"/>
  <c r="AN27" i="17"/>
  <c r="AN28" i="17"/>
  <c r="AN29" i="17"/>
  <c r="AN30" i="17"/>
  <c r="AP30" i="17" s="1"/>
  <c r="AN31" i="17"/>
  <c r="AN32" i="17"/>
  <c r="AN33" i="17"/>
  <c r="AN34" i="17"/>
  <c r="AN35" i="17"/>
  <c r="AN36" i="17"/>
  <c r="AN37" i="17"/>
  <c r="AN38" i="17"/>
  <c r="AN39" i="17"/>
  <c r="AN40" i="17"/>
  <c r="AN41" i="17"/>
  <c r="AN42" i="17"/>
  <c r="AN43" i="17"/>
  <c r="AN44" i="17"/>
  <c r="AN45" i="17"/>
  <c r="AN46" i="17"/>
  <c r="AN47" i="17"/>
  <c r="AN48" i="17"/>
  <c r="AN49" i="17"/>
  <c r="AN50" i="17"/>
  <c r="AG18" i="17"/>
  <c r="AG19" i="17"/>
  <c r="AG20" i="17"/>
  <c r="AG21" i="17"/>
  <c r="AI21" i="17" s="1"/>
  <c r="AG22" i="17"/>
  <c r="AG23" i="17"/>
  <c r="AG24" i="17"/>
  <c r="AG25" i="17"/>
  <c r="AG26" i="17"/>
  <c r="AG27" i="17"/>
  <c r="AG28" i="17"/>
  <c r="AG29" i="17"/>
  <c r="AH29" i="17" s="1"/>
  <c r="AG30" i="17"/>
  <c r="AG31" i="17"/>
  <c r="AG32" i="17"/>
  <c r="AG33" i="17"/>
  <c r="AG34" i="17"/>
  <c r="AG35" i="17"/>
  <c r="AG36" i="17"/>
  <c r="AG37" i="17"/>
  <c r="AG38" i="17"/>
  <c r="AG39" i="17"/>
  <c r="AG40" i="17"/>
  <c r="AG41" i="17"/>
  <c r="AG42" i="17"/>
  <c r="AG43" i="17"/>
  <c r="AG44" i="17"/>
  <c r="AG45" i="17"/>
  <c r="AG46" i="17"/>
  <c r="AG47" i="17"/>
  <c r="AG48" i="17"/>
  <c r="AG49" i="17"/>
  <c r="AG50" i="17"/>
  <c r="Z19" i="17"/>
  <c r="AB19" i="17" s="1"/>
  <c r="Z20" i="17"/>
  <c r="Z21" i="17"/>
  <c r="AB21" i="17" s="1"/>
  <c r="Z22" i="17"/>
  <c r="Z23" i="17"/>
  <c r="Z24" i="17"/>
  <c r="Z25" i="17"/>
  <c r="Z26" i="17"/>
  <c r="Z27" i="17"/>
  <c r="AA27" i="17" s="1"/>
  <c r="Z28" i="17"/>
  <c r="Z29" i="17"/>
  <c r="AA29" i="17" s="1"/>
  <c r="Z30" i="17"/>
  <c r="Z31" i="17"/>
  <c r="Z32" i="17"/>
  <c r="Z33" i="17"/>
  <c r="Z34" i="17"/>
  <c r="Z35" i="17"/>
  <c r="Z36" i="17"/>
  <c r="Z37" i="17"/>
  <c r="Z38" i="17"/>
  <c r="Z39" i="17"/>
  <c r="Z40" i="17"/>
  <c r="Z41" i="17"/>
  <c r="Z42" i="17"/>
  <c r="Z43" i="17"/>
  <c r="Z44" i="17"/>
  <c r="Z45" i="17"/>
  <c r="Z46" i="17"/>
  <c r="Z47" i="17"/>
  <c r="Z48" i="17"/>
  <c r="Z49" i="17"/>
  <c r="Z50" i="17"/>
  <c r="S18" i="17"/>
  <c r="S19" i="17"/>
  <c r="U19" i="17" s="1"/>
  <c r="S20" i="17"/>
  <c r="T20" i="17" s="1"/>
  <c r="S21" i="17"/>
  <c r="S22" i="17"/>
  <c r="S23" i="17"/>
  <c r="S24" i="17"/>
  <c r="T24" i="17" s="1"/>
  <c r="S25" i="17"/>
  <c r="S26" i="17"/>
  <c r="S27" i="17"/>
  <c r="T27" i="17" s="1"/>
  <c r="S28" i="17"/>
  <c r="U28" i="17" s="1"/>
  <c r="S29" i="17"/>
  <c r="S30" i="17"/>
  <c r="S31" i="17"/>
  <c r="S32" i="17"/>
  <c r="S33" i="17"/>
  <c r="S34" i="17"/>
  <c r="S35" i="17"/>
  <c r="S36" i="17"/>
  <c r="S37" i="17"/>
  <c r="S38" i="17"/>
  <c r="S39" i="17"/>
  <c r="S40" i="17"/>
  <c r="S41" i="17"/>
  <c r="S42" i="17"/>
  <c r="S43" i="17"/>
  <c r="S44" i="17"/>
  <c r="S45" i="17"/>
  <c r="S46" i="17"/>
  <c r="S47" i="17"/>
  <c r="S48" i="17"/>
  <c r="S49" i="17"/>
  <c r="S50" i="17"/>
  <c r="E33" i="17"/>
  <c r="E34" i="17"/>
  <c r="E35" i="17"/>
  <c r="E36" i="17"/>
  <c r="E37" i="17"/>
  <c r="E38" i="17"/>
  <c r="E39" i="17"/>
  <c r="E40" i="17"/>
  <c r="E41" i="17"/>
  <c r="E42" i="17"/>
  <c r="E43" i="17"/>
  <c r="E44" i="17"/>
  <c r="E45" i="17"/>
  <c r="E46" i="17"/>
  <c r="E47" i="17"/>
  <c r="E48" i="17"/>
  <c r="E49" i="17"/>
  <c r="E50" i="17"/>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S129" i="28"/>
  <c r="S130" i="28"/>
  <c r="S131" i="28"/>
  <c r="L99" i="28"/>
  <c r="L100" i="28"/>
  <c r="L101" i="28"/>
  <c r="L102" i="28"/>
  <c r="L103" i="28"/>
  <c r="L104" i="28"/>
  <c r="L105" i="28"/>
  <c r="L106" i="28"/>
  <c r="L107" i="28"/>
  <c r="L108" i="28"/>
  <c r="L109" i="28"/>
  <c r="L110" i="28"/>
  <c r="L111" i="28"/>
  <c r="L112" i="28"/>
  <c r="L113" i="28"/>
  <c r="L114" i="28"/>
  <c r="L115" i="28"/>
  <c r="L116" i="28"/>
  <c r="L117" i="28"/>
  <c r="L118" i="28"/>
  <c r="L119" i="28"/>
  <c r="L120" i="28"/>
  <c r="L121" i="28"/>
  <c r="L122" i="28"/>
  <c r="L123" i="28"/>
  <c r="L124" i="28"/>
  <c r="L125" i="28"/>
  <c r="L126" i="28"/>
  <c r="L127" i="28"/>
  <c r="L128" i="28"/>
  <c r="L129" i="28"/>
  <c r="L130" i="28"/>
  <c r="L131"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130" i="28"/>
  <c r="E131"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M129" i="28"/>
  <c r="M130" i="28"/>
  <c r="M131"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29" i="28"/>
  <c r="T130" i="28"/>
  <c r="T131"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S87" i="28"/>
  <c r="S88" i="28"/>
  <c r="S89"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89" i="28"/>
  <c r="BP18" i="28"/>
  <c r="BP19" i="28"/>
  <c r="BP20" i="28"/>
  <c r="BP21" i="28"/>
  <c r="BP22" i="28"/>
  <c r="BP23" i="28"/>
  <c r="BR23" i="28" s="1"/>
  <c r="BP24" i="28"/>
  <c r="BP25" i="28"/>
  <c r="BP26" i="28"/>
  <c r="BP27" i="28"/>
  <c r="BP28" i="28"/>
  <c r="BP29" i="28"/>
  <c r="BP30" i="28"/>
  <c r="BP31" i="28"/>
  <c r="BR31" i="28" s="1"/>
  <c r="BP32" i="28"/>
  <c r="BP33" i="28"/>
  <c r="BP34" i="28"/>
  <c r="BP35" i="28"/>
  <c r="BP36" i="28"/>
  <c r="BP37" i="28"/>
  <c r="BP38" i="28"/>
  <c r="BP39" i="28"/>
  <c r="BP40" i="28"/>
  <c r="BP41" i="28"/>
  <c r="BP42" i="28"/>
  <c r="BP43" i="28"/>
  <c r="BP44" i="28"/>
  <c r="BP45" i="28"/>
  <c r="BP46" i="28"/>
  <c r="BP47" i="28"/>
  <c r="BP48" i="28"/>
  <c r="BP49" i="28"/>
  <c r="BP50" i="28"/>
  <c r="AN18" i="28"/>
  <c r="AN19" i="28"/>
  <c r="AN20" i="28"/>
  <c r="AO20" i="28" s="1"/>
  <c r="AN21" i="28"/>
  <c r="AN22" i="28"/>
  <c r="AO22" i="28" s="1"/>
  <c r="AN23" i="28"/>
  <c r="AN24" i="28"/>
  <c r="AN25" i="28"/>
  <c r="AN26" i="28"/>
  <c r="AN27" i="28"/>
  <c r="AN28" i="28"/>
  <c r="AN29" i="28"/>
  <c r="AN30" i="28"/>
  <c r="AN31" i="28"/>
  <c r="AN32" i="28"/>
  <c r="AN33" i="28"/>
  <c r="AN34" i="28"/>
  <c r="AN35" i="28"/>
  <c r="AN36" i="28"/>
  <c r="AN37" i="28"/>
  <c r="AN38" i="28"/>
  <c r="AN39" i="28"/>
  <c r="AN40" i="28"/>
  <c r="AN41" i="28"/>
  <c r="AN42" i="28"/>
  <c r="AN43" i="28"/>
  <c r="AN44" i="28"/>
  <c r="AN45" i="28"/>
  <c r="AN46" i="28"/>
  <c r="AN47" i="28"/>
  <c r="AN48" i="28"/>
  <c r="AN49" i="28"/>
  <c r="AN50" i="28"/>
  <c r="AG18" i="28"/>
  <c r="AH18" i="28" s="1"/>
  <c r="AG19" i="28"/>
  <c r="AI19" i="28" s="1"/>
  <c r="AG20" i="28"/>
  <c r="AG21" i="28"/>
  <c r="AG22" i="28"/>
  <c r="AG23" i="28"/>
  <c r="AG24" i="28"/>
  <c r="AG25" i="28"/>
  <c r="AG26" i="28"/>
  <c r="AG27" i="28"/>
  <c r="AH27" i="28" s="1"/>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Z18" i="28"/>
  <c r="AA18" i="28" s="1"/>
  <c r="Z19" i="28"/>
  <c r="Z20" i="28"/>
  <c r="AA20" i="28" s="1"/>
  <c r="Z21" i="28"/>
  <c r="Z22" i="28"/>
  <c r="Z23" i="28"/>
  <c r="Z24" i="28"/>
  <c r="Z25" i="28"/>
  <c r="Z26" i="28"/>
  <c r="Z27" i="28"/>
  <c r="Z28" i="28"/>
  <c r="AB28" i="28" s="1"/>
  <c r="Z29" i="28"/>
  <c r="Z30" i="28"/>
  <c r="Z31" i="28"/>
  <c r="Z32" i="28"/>
  <c r="Z33" i="28"/>
  <c r="Z34" i="28"/>
  <c r="Z35" i="28"/>
  <c r="Z36" i="28"/>
  <c r="Z37" i="28"/>
  <c r="Z38" i="28"/>
  <c r="Z39" i="28"/>
  <c r="Z40" i="28"/>
  <c r="Z41" i="28"/>
  <c r="Z42" i="28"/>
  <c r="Z43" i="28"/>
  <c r="Z44" i="28"/>
  <c r="Z45" i="28"/>
  <c r="Z46" i="28"/>
  <c r="Z47" i="28"/>
  <c r="Z48" i="28"/>
  <c r="Z49" i="28"/>
  <c r="Z50" i="28"/>
  <c r="S18" i="28"/>
  <c r="S19" i="28"/>
  <c r="U19" i="28" s="1"/>
  <c r="S20" i="28"/>
  <c r="S21" i="28"/>
  <c r="S22" i="28"/>
  <c r="S23" i="28"/>
  <c r="S24" i="28"/>
  <c r="S25" i="28"/>
  <c r="S26" i="28"/>
  <c r="S27" i="28"/>
  <c r="T27" i="28" s="1"/>
  <c r="S28" i="28"/>
  <c r="S29" i="28"/>
  <c r="S30" i="28"/>
  <c r="S31" i="28"/>
  <c r="S32" i="28"/>
  <c r="S33" i="28"/>
  <c r="S34" i="28"/>
  <c r="S35" i="28"/>
  <c r="S36" i="28"/>
  <c r="S37" i="28"/>
  <c r="S38" i="28"/>
  <c r="S39" i="28"/>
  <c r="S40" i="28"/>
  <c r="S41" i="28"/>
  <c r="S42" i="28"/>
  <c r="S43" i="28"/>
  <c r="S44" i="28"/>
  <c r="S45" i="28"/>
  <c r="S46" i="28"/>
  <c r="S47" i="28"/>
  <c r="S48" i="28"/>
  <c r="S49" i="28"/>
  <c r="S50" i="28"/>
  <c r="L18" i="28"/>
  <c r="M18" i="28" s="1"/>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L48" i="28"/>
  <c r="L49" i="28"/>
  <c r="L50" i="28"/>
  <c r="E18" i="28"/>
  <c r="G18" i="28" s="1"/>
  <c r="E19" i="28"/>
  <c r="E20" i="28"/>
  <c r="E21" i="28"/>
  <c r="E22" i="28"/>
  <c r="E23" i="28"/>
  <c r="E24" i="28"/>
  <c r="E25" i="28"/>
  <c r="G25" i="28" s="1"/>
  <c r="E26" i="28"/>
  <c r="E27" i="28"/>
  <c r="E28" i="28"/>
  <c r="E29" i="28"/>
  <c r="E30" i="28"/>
  <c r="E31" i="28"/>
  <c r="E32" i="28"/>
  <c r="E33" i="28"/>
  <c r="E34" i="28"/>
  <c r="E35" i="28"/>
  <c r="E36" i="28"/>
  <c r="E37" i="28"/>
  <c r="E38" i="28"/>
  <c r="E39" i="28"/>
  <c r="E40" i="28"/>
  <c r="E41" i="28"/>
  <c r="E42" i="28"/>
  <c r="E43" i="28"/>
  <c r="E44" i="28"/>
  <c r="E45" i="28"/>
  <c r="E46" i="28"/>
  <c r="E47" i="28"/>
  <c r="E48" i="28"/>
  <c r="E49" i="28"/>
  <c r="E50" i="28"/>
  <c r="BR18" i="28"/>
  <c r="BR19" i="28"/>
  <c r="BR20" i="28"/>
  <c r="BR21" i="28"/>
  <c r="BR22" i="28"/>
  <c r="BR24" i="28"/>
  <c r="BR25" i="28"/>
  <c r="BR26" i="28"/>
  <c r="BR27" i="28"/>
  <c r="BR28" i="28"/>
  <c r="BR29" i="28"/>
  <c r="BR30" i="28"/>
  <c r="BR32" i="28"/>
  <c r="BR33" i="28"/>
  <c r="BR34" i="28"/>
  <c r="BR35" i="28"/>
  <c r="BR36" i="28"/>
  <c r="BR37" i="28"/>
  <c r="BR38" i="28"/>
  <c r="BR39" i="28"/>
  <c r="BR40" i="28"/>
  <c r="BR41" i="28"/>
  <c r="BR42" i="28"/>
  <c r="BR43" i="28"/>
  <c r="BR44" i="28"/>
  <c r="BR45" i="28"/>
  <c r="BR46" i="28"/>
  <c r="BR47" i="28"/>
  <c r="BR48" i="28"/>
  <c r="BR49" i="28"/>
  <c r="BR50" i="28"/>
  <c r="BQ18" i="28"/>
  <c r="BQ19" i="28"/>
  <c r="BQ20" i="28"/>
  <c r="BQ21" i="28"/>
  <c r="BQ22" i="28"/>
  <c r="BQ23" i="28"/>
  <c r="BQ24" i="28"/>
  <c r="BQ25" i="28"/>
  <c r="BQ26" i="28"/>
  <c r="BQ27" i="28"/>
  <c r="BQ28" i="28"/>
  <c r="BQ29" i="28"/>
  <c r="BQ30" i="28"/>
  <c r="BQ31" i="28"/>
  <c r="BQ32" i="28"/>
  <c r="BQ33" i="28"/>
  <c r="BQ34" i="28"/>
  <c r="BQ35" i="28"/>
  <c r="BQ36" i="28"/>
  <c r="BQ37" i="28"/>
  <c r="BQ38" i="28"/>
  <c r="BQ39" i="28"/>
  <c r="BQ40" i="28"/>
  <c r="BQ41" i="28"/>
  <c r="BQ42" i="28"/>
  <c r="BQ43" i="28"/>
  <c r="BQ44" i="28"/>
  <c r="BQ45" i="28"/>
  <c r="BQ46" i="28"/>
  <c r="BQ47" i="28"/>
  <c r="BQ48" i="28"/>
  <c r="BQ49" i="28"/>
  <c r="BQ50" i="28"/>
  <c r="AP18" i="28"/>
  <c r="AP19" i="28"/>
  <c r="AP20" i="28"/>
  <c r="AP21" i="28"/>
  <c r="AP22" i="28"/>
  <c r="AP23" i="28"/>
  <c r="AP24" i="28"/>
  <c r="AP25" i="28"/>
  <c r="AP26" i="28"/>
  <c r="AP27" i="28"/>
  <c r="AP28" i="28"/>
  <c r="AP29" i="28"/>
  <c r="AP30" i="28"/>
  <c r="AP31" i="28"/>
  <c r="AP32" i="28"/>
  <c r="AP33" i="28"/>
  <c r="AP34" i="28"/>
  <c r="AP35" i="28"/>
  <c r="AP36" i="28"/>
  <c r="AP37" i="28"/>
  <c r="AP38" i="28"/>
  <c r="AP39" i="28"/>
  <c r="AP40" i="28"/>
  <c r="AP41" i="28"/>
  <c r="AP42" i="28"/>
  <c r="AP43" i="28"/>
  <c r="AP44" i="28"/>
  <c r="AP45" i="28"/>
  <c r="AP46" i="28"/>
  <c r="AP47" i="28"/>
  <c r="AP48" i="28"/>
  <c r="AP49" i="28"/>
  <c r="AP50" i="28"/>
  <c r="AO18" i="28"/>
  <c r="AO19" i="28"/>
  <c r="AO21" i="28"/>
  <c r="AO23" i="28"/>
  <c r="AO24" i="28"/>
  <c r="AO25" i="28"/>
  <c r="AO26" i="28"/>
  <c r="AO27" i="28"/>
  <c r="AO28" i="28"/>
  <c r="AO29" i="28"/>
  <c r="AO30" i="28"/>
  <c r="AO31" i="28"/>
  <c r="AO32" i="28"/>
  <c r="AO33" i="28"/>
  <c r="AO34" i="28"/>
  <c r="AO35" i="28"/>
  <c r="AO36" i="28"/>
  <c r="AO37" i="28"/>
  <c r="AO38" i="28"/>
  <c r="AO39" i="28"/>
  <c r="AO40" i="28"/>
  <c r="AO41" i="28"/>
  <c r="AO42" i="28"/>
  <c r="AO43" i="28"/>
  <c r="AO44" i="28"/>
  <c r="AO45" i="28"/>
  <c r="AO46" i="28"/>
  <c r="AO47" i="28"/>
  <c r="AO48" i="28"/>
  <c r="AO49" i="28"/>
  <c r="AO50" i="28"/>
  <c r="AI18"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I47" i="28"/>
  <c r="AI48" i="28"/>
  <c r="AI49" i="28"/>
  <c r="AI50" i="28"/>
  <c r="AH19" i="28"/>
  <c r="AH20" i="28"/>
  <c r="AH21" i="28"/>
  <c r="AH22" i="28"/>
  <c r="AH23" i="28"/>
  <c r="AH24" i="28"/>
  <c r="AH25" i="28"/>
  <c r="AH26" i="28"/>
  <c r="AH28" i="28"/>
  <c r="AH29" i="28"/>
  <c r="AH30" i="28"/>
  <c r="AH31" i="28"/>
  <c r="AH32" i="28"/>
  <c r="AH33" i="28"/>
  <c r="AH34" i="28"/>
  <c r="AH35" i="28"/>
  <c r="AH36" i="28"/>
  <c r="AH37" i="28"/>
  <c r="AH38" i="28"/>
  <c r="AH39" i="28"/>
  <c r="AH40" i="28"/>
  <c r="AH41" i="28"/>
  <c r="AH42" i="28"/>
  <c r="AH43" i="28"/>
  <c r="AH44" i="28"/>
  <c r="AH45" i="28"/>
  <c r="AH46" i="28"/>
  <c r="AH47" i="28"/>
  <c r="AH48" i="28"/>
  <c r="AH49" i="28"/>
  <c r="AH50" i="28"/>
  <c r="AB18" i="28"/>
  <c r="AB19" i="28"/>
  <c r="AB20" i="28"/>
  <c r="AB21" i="28"/>
  <c r="AB22" i="28"/>
  <c r="AB23" i="28"/>
  <c r="AB24" i="28"/>
  <c r="AB25" i="28"/>
  <c r="AB26" i="28"/>
  <c r="AB27" i="28"/>
  <c r="AB29" i="28"/>
  <c r="AB30" i="28"/>
  <c r="AB31" i="28"/>
  <c r="AB32" i="28"/>
  <c r="AB33" i="28"/>
  <c r="AB34" i="28"/>
  <c r="AB35" i="28"/>
  <c r="AB36" i="28"/>
  <c r="AB37" i="28"/>
  <c r="AB38" i="28"/>
  <c r="AB39" i="28"/>
  <c r="AB40" i="28"/>
  <c r="AB41" i="28"/>
  <c r="AB42" i="28"/>
  <c r="AB43" i="28"/>
  <c r="AB44" i="28"/>
  <c r="AB45" i="28"/>
  <c r="AB46" i="28"/>
  <c r="AB47" i="28"/>
  <c r="AB48" i="28"/>
  <c r="AB49" i="28"/>
  <c r="AB50" i="28"/>
  <c r="AA19"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U18"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T18" i="28"/>
  <c r="T19" i="28"/>
  <c r="T20" i="28"/>
  <c r="T21" i="28"/>
  <c r="T22" i="28"/>
  <c r="T23" i="28"/>
  <c r="T24" i="28"/>
  <c r="T25" i="28"/>
  <c r="T26" i="28"/>
  <c r="T28" i="28"/>
  <c r="T29" i="28"/>
  <c r="T30" i="28"/>
  <c r="T31" i="28"/>
  <c r="T32" i="28"/>
  <c r="T33" i="28"/>
  <c r="T34" i="28"/>
  <c r="T35" i="28"/>
  <c r="T36" i="28"/>
  <c r="T37" i="28"/>
  <c r="T38" i="28"/>
  <c r="T39" i="28"/>
  <c r="T40" i="28"/>
  <c r="T41" i="28"/>
  <c r="T42" i="28"/>
  <c r="T43" i="28"/>
  <c r="T44" i="28"/>
  <c r="T45" i="28"/>
  <c r="T46" i="28"/>
  <c r="T47" i="28"/>
  <c r="T48" i="28"/>
  <c r="T49" i="28"/>
  <c r="T50"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G19" i="28"/>
  <c r="G20" i="28"/>
  <c r="G21" i="28"/>
  <c r="G22" i="28"/>
  <c r="G23" i="28"/>
  <c r="G24"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U129" i="27"/>
  <c r="U130" i="27"/>
  <c r="U131"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T129" i="27"/>
  <c r="T130" i="27"/>
  <c r="T131"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U87" i="27"/>
  <c r="U88" i="27"/>
  <c r="U89"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BR18" i="27"/>
  <c r="BR20" i="27"/>
  <c r="BR21" i="27"/>
  <c r="BR22" i="27"/>
  <c r="BR23" i="27"/>
  <c r="BR24" i="27"/>
  <c r="BR26" i="27"/>
  <c r="BR27" i="27"/>
  <c r="BR28" i="27"/>
  <c r="BR29" i="27"/>
  <c r="BR30" i="27"/>
  <c r="BR31" i="27"/>
  <c r="BR32" i="27"/>
  <c r="BR33" i="27"/>
  <c r="BR34" i="27"/>
  <c r="BR35" i="27"/>
  <c r="BR36" i="27"/>
  <c r="BR37" i="27"/>
  <c r="BR38" i="27"/>
  <c r="BR39" i="27"/>
  <c r="BR40" i="27"/>
  <c r="BR41" i="27"/>
  <c r="BR42" i="27"/>
  <c r="BR43" i="27"/>
  <c r="BR44" i="27"/>
  <c r="BR45" i="27"/>
  <c r="BR46" i="27"/>
  <c r="BR47" i="27"/>
  <c r="BR48" i="27"/>
  <c r="BR49" i="27"/>
  <c r="BR50" i="27"/>
  <c r="BQ19" i="27"/>
  <c r="BQ20" i="27"/>
  <c r="BQ21" i="27"/>
  <c r="BQ22" i="27"/>
  <c r="BQ23" i="27"/>
  <c r="BQ24" i="27"/>
  <c r="BQ25" i="27"/>
  <c r="BQ26" i="27"/>
  <c r="BQ28" i="27"/>
  <c r="BQ29" i="27"/>
  <c r="BQ30" i="27"/>
  <c r="BQ31" i="27"/>
  <c r="BQ32" i="27"/>
  <c r="BQ33" i="27"/>
  <c r="BQ34" i="27"/>
  <c r="BQ35" i="27"/>
  <c r="BQ36" i="27"/>
  <c r="BQ37" i="27"/>
  <c r="BQ38" i="27"/>
  <c r="BQ39" i="27"/>
  <c r="BQ40" i="27"/>
  <c r="BQ41" i="27"/>
  <c r="BQ42" i="27"/>
  <c r="BQ43" i="27"/>
  <c r="BQ44" i="27"/>
  <c r="BQ45" i="27"/>
  <c r="BQ46" i="27"/>
  <c r="BQ47" i="27"/>
  <c r="BQ48" i="27"/>
  <c r="BQ49" i="27"/>
  <c r="BQ50" i="27"/>
  <c r="AP18" i="27"/>
  <c r="AP19" i="27"/>
  <c r="AP20" i="27"/>
  <c r="AP21" i="27"/>
  <c r="AP22" i="27"/>
  <c r="AP23" i="27"/>
  <c r="AP24" i="27"/>
  <c r="AP26" i="27"/>
  <c r="AP27" i="27"/>
  <c r="AP28" i="27"/>
  <c r="AP29" i="27"/>
  <c r="AP30" i="27"/>
  <c r="AP31" i="27"/>
  <c r="AP32" i="27"/>
  <c r="AP33" i="27"/>
  <c r="AP34" i="27"/>
  <c r="AP35" i="27"/>
  <c r="AP36" i="27"/>
  <c r="AP37" i="27"/>
  <c r="AP38" i="27"/>
  <c r="AP39" i="27"/>
  <c r="AP40" i="27"/>
  <c r="AP41" i="27"/>
  <c r="AP42" i="27"/>
  <c r="AP43" i="27"/>
  <c r="AP44" i="27"/>
  <c r="AP45" i="27"/>
  <c r="AP46" i="27"/>
  <c r="AP47" i="27"/>
  <c r="AP48" i="27"/>
  <c r="AP49" i="27"/>
  <c r="AP50"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O48" i="27"/>
  <c r="AO49" i="27"/>
  <c r="AO50" i="27"/>
  <c r="AI18" i="27"/>
  <c r="AI19" i="27"/>
  <c r="AI20" i="27"/>
  <c r="AI21" i="27"/>
  <c r="AI22" i="27"/>
  <c r="AI24" i="27"/>
  <c r="AI25" i="27"/>
  <c r="AI26" i="27"/>
  <c r="AI27" i="27"/>
  <c r="AI28" i="27"/>
  <c r="AI29" i="27"/>
  <c r="AI32" i="27"/>
  <c r="AI33" i="27"/>
  <c r="AI34" i="27"/>
  <c r="AI35" i="27"/>
  <c r="AI36" i="27"/>
  <c r="AI37" i="27"/>
  <c r="AI38" i="27"/>
  <c r="AI39" i="27"/>
  <c r="AI40" i="27"/>
  <c r="AI41" i="27"/>
  <c r="AI42" i="27"/>
  <c r="AI43" i="27"/>
  <c r="AI44" i="27"/>
  <c r="AI45" i="27"/>
  <c r="AI46" i="27"/>
  <c r="AI47" i="27"/>
  <c r="AI48" i="27"/>
  <c r="AI49" i="27"/>
  <c r="AI50" i="27"/>
  <c r="AH18" i="27"/>
  <c r="AH19" i="27"/>
  <c r="AH20" i="27"/>
  <c r="AH21" i="27"/>
  <c r="AH23" i="27"/>
  <c r="AH24" i="27"/>
  <c r="AH25" i="27"/>
  <c r="AH26" i="27"/>
  <c r="AH27" i="27"/>
  <c r="AH28" i="27"/>
  <c r="AH29" i="27"/>
  <c r="AH30" i="27"/>
  <c r="AH31" i="27"/>
  <c r="AH32" i="27"/>
  <c r="AH33" i="27"/>
  <c r="AH34" i="27"/>
  <c r="AH35" i="27"/>
  <c r="AH36" i="27"/>
  <c r="AH37" i="27"/>
  <c r="AH38" i="27"/>
  <c r="AH39" i="27"/>
  <c r="AH40" i="27"/>
  <c r="AH41" i="27"/>
  <c r="AH42" i="27"/>
  <c r="AH43" i="27"/>
  <c r="AH44" i="27"/>
  <c r="AH45" i="27"/>
  <c r="AH46" i="27"/>
  <c r="AH47" i="27"/>
  <c r="AH48" i="27"/>
  <c r="AH49" i="27"/>
  <c r="AH50" i="27"/>
  <c r="AB18" i="27"/>
  <c r="AB19" i="27"/>
  <c r="AB20" i="27"/>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B48" i="27"/>
  <c r="AB49" i="27"/>
  <c r="AB50"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U18" i="27"/>
  <c r="U19" i="27"/>
  <c r="U20" i="27"/>
  <c r="U2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U48" i="27"/>
  <c r="U49" i="27"/>
  <c r="U50" i="27"/>
  <c r="T18" i="27"/>
  <c r="T19" i="27"/>
  <c r="T20" i="27"/>
  <c r="T21" i="27"/>
  <c r="T22" i="27"/>
  <c r="T23" i="27"/>
  <c r="T24" i="27"/>
  <c r="T25" i="27"/>
  <c r="T26" i="27"/>
  <c r="T27" i="27"/>
  <c r="T28" i="27"/>
  <c r="T30" i="27"/>
  <c r="T31" i="27"/>
  <c r="T32" i="27"/>
  <c r="T33" i="27"/>
  <c r="T34" i="27"/>
  <c r="T35" i="27"/>
  <c r="T36" i="27"/>
  <c r="T37" i="27"/>
  <c r="T38" i="27"/>
  <c r="T39" i="27"/>
  <c r="T40" i="27"/>
  <c r="T41" i="27"/>
  <c r="T42" i="27"/>
  <c r="T43" i="27"/>
  <c r="T44" i="27"/>
  <c r="T45" i="27"/>
  <c r="T46" i="27"/>
  <c r="T47" i="27"/>
  <c r="T48" i="27"/>
  <c r="T49" i="27"/>
  <c r="T50" i="27"/>
  <c r="N18" i="27"/>
  <c r="N19" i="27"/>
  <c r="N20" i="27"/>
  <c r="N21" i="27"/>
  <c r="N22" i="27"/>
  <c r="N23" i="27"/>
  <c r="N24" i="27"/>
  <c r="N25" i="27"/>
  <c r="N26" i="27"/>
  <c r="N27" i="27"/>
  <c r="N29" i="27"/>
  <c r="N30" i="27"/>
  <c r="N31" i="27"/>
  <c r="N34" i="27"/>
  <c r="N35" i="27"/>
  <c r="N36" i="27"/>
  <c r="N37" i="27"/>
  <c r="N38" i="27"/>
  <c r="N39" i="27"/>
  <c r="N40" i="27"/>
  <c r="N41" i="27"/>
  <c r="N42" i="27"/>
  <c r="N43" i="27"/>
  <c r="N44" i="27"/>
  <c r="N45" i="27"/>
  <c r="N46" i="27"/>
  <c r="N47" i="27"/>
  <c r="N48" i="27"/>
  <c r="N49" i="27"/>
  <c r="N50" i="27"/>
  <c r="M18" i="27"/>
  <c r="M19" i="27"/>
  <c r="M21" i="27"/>
  <c r="M22" i="27"/>
  <c r="M23" i="27"/>
  <c r="M24" i="27"/>
  <c r="M26" i="27"/>
  <c r="M28" i="27"/>
  <c r="M29" i="27"/>
  <c r="M30" i="27"/>
  <c r="M31" i="27"/>
  <c r="M32" i="27"/>
  <c r="M33" i="27"/>
  <c r="M35" i="27"/>
  <c r="M36" i="27"/>
  <c r="M37" i="27"/>
  <c r="M38" i="27"/>
  <c r="M39" i="27"/>
  <c r="M40" i="27"/>
  <c r="M41" i="27"/>
  <c r="M42" i="27"/>
  <c r="M43" i="27"/>
  <c r="M44" i="27"/>
  <c r="M45" i="27"/>
  <c r="M46" i="27"/>
  <c r="M47" i="27"/>
  <c r="M48" i="27"/>
  <c r="M49" i="27"/>
  <c r="M50" i="27"/>
  <c r="G18" i="27"/>
  <c r="G19" i="27"/>
  <c r="G20" i="27"/>
  <c r="G22" i="27"/>
  <c r="G25" i="27"/>
  <c r="G26" i="27"/>
  <c r="G27" i="27"/>
  <c r="G29" i="27"/>
  <c r="G30" i="27"/>
  <c r="G34" i="27"/>
  <c r="G35" i="27"/>
  <c r="G36" i="27"/>
  <c r="G37" i="27"/>
  <c r="G38" i="27"/>
  <c r="G39" i="27"/>
  <c r="G40" i="27"/>
  <c r="G41" i="27"/>
  <c r="G42" i="27"/>
  <c r="G43" i="27"/>
  <c r="G44" i="27"/>
  <c r="G45" i="27"/>
  <c r="G46" i="27"/>
  <c r="G47" i="27"/>
  <c r="G48" i="27"/>
  <c r="G49" i="27"/>
  <c r="G50" i="27"/>
  <c r="F18" i="27"/>
  <c r="F19" i="27"/>
  <c r="F21" i="27"/>
  <c r="F22" i="27"/>
  <c r="F23" i="27"/>
  <c r="F24" i="27"/>
  <c r="F26" i="27"/>
  <c r="F27" i="27"/>
  <c r="F28" i="27"/>
  <c r="F30" i="27"/>
  <c r="F31" i="27"/>
  <c r="F32" i="27"/>
  <c r="F33" i="27"/>
  <c r="F34" i="27"/>
  <c r="F35" i="27"/>
  <c r="F36" i="27"/>
  <c r="F37" i="27"/>
  <c r="F38" i="27"/>
  <c r="F39" i="27"/>
  <c r="F40" i="27"/>
  <c r="F41" i="27"/>
  <c r="F42" i="27"/>
  <c r="F43" i="27"/>
  <c r="F44" i="27"/>
  <c r="F45" i="27"/>
  <c r="F46" i="27"/>
  <c r="F47" i="27"/>
  <c r="F48" i="27"/>
  <c r="F49" i="27"/>
  <c r="F50" i="2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BQ19" i="17"/>
  <c r="BR19" i="17"/>
  <c r="BQ20" i="17"/>
  <c r="BR20" i="17"/>
  <c r="BQ21" i="17"/>
  <c r="BQ22" i="17"/>
  <c r="BR22" i="17"/>
  <c r="BQ23" i="17"/>
  <c r="BQ24" i="17"/>
  <c r="BR24" i="17"/>
  <c r="BQ25" i="17"/>
  <c r="BR25" i="17"/>
  <c r="BQ26" i="17"/>
  <c r="BR26" i="17"/>
  <c r="BQ27" i="17"/>
  <c r="BR27" i="17"/>
  <c r="BQ28" i="17"/>
  <c r="BR28" i="17"/>
  <c r="BR29" i="17"/>
  <c r="BQ30" i="17"/>
  <c r="BR30" i="17"/>
  <c r="BQ31" i="17"/>
  <c r="BQ32" i="17"/>
  <c r="BR32" i="17"/>
  <c r="BQ33" i="17"/>
  <c r="BR33" i="17"/>
  <c r="BQ34" i="17"/>
  <c r="BR34" i="17"/>
  <c r="BQ35" i="17"/>
  <c r="BR35" i="17"/>
  <c r="BQ36" i="17"/>
  <c r="BR36" i="17"/>
  <c r="BQ37" i="17"/>
  <c r="BR37" i="17"/>
  <c r="BQ38" i="17"/>
  <c r="BR38" i="17"/>
  <c r="BQ39" i="17"/>
  <c r="BR39" i="17"/>
  <c r="BQ40" i="17"/>
  <c r="BR40" i="17"/>
  <c r="BQ41" i="17"/>
  <c r="BR41" i="17"/>
  <c r="BQ42" i="17"/>
  <c r="BR42" i="17"/>
  <c r="BQ43" i="17"/>
  <c r="BR43" i="17"/>
  <c r="BQ44" i="17"/>
  <c r="BR44" i="17"/>
  <c r="BQ45" i="17"/>
  <c r="BR45" i="17"/>
  <c r="BQ46" i="17"/>
  <c r="BR46" i="17"/>
  <c r="BQ47" i="17"/>
  <c r="BR47" i="17"/>
  <c r="BQ48" i="17"/>
  <c r="BR48" i="17"/>
  <c r="BQ49" i="17"/>
  <c r="BR49" i="17"/>
  <c r="BQ50" i="17"/>
  <c r="BR50" i="17"/>
  <c r="BR18" i="17"/>
  <c r="BQ18" i="17"/>
  <c r="AP18" i="17"/>
  <c r="AP19" i="17"/>
  <c r="AP20" i="17"/>
  <c r="AP21" i="17"/>
  <c r="AP22" i="17"/>
  <c r="AP23" i="17"/>
  <c r="AP24" i="17"/>
  <c r="AP25" i="17"/>
  <c r="AP26" i="17"/>
  <c r="AP27" i="17"/>
  <c r="AP28" i="17"/>
  <c r="AP29" i="17"/>
  <c r="AP31" i="17"/>
  <c r="AP32" i="17"/>
  <c r="AP33" i="17"/>
  <c r="AP34" i="17"/>
  <c r="AP35" i="17"/>
  <c r="AP36" i="17"/>
  <c r="AP37" i="17"/>
  <c r="AP38" i="17"/>
  <c r="AP39" i="17"/>
  <c r="AP40" i="17"/>
  <c r="AP41" i="17"/>
  <c r="AP42" i="17"/>
  <c r="AP43" i="17"/>
  <c r="AP44" i="17"/>
  <c r="AP45" i="17"/>
  <c r="AP46" i="17"/>
  <c r="AP47" i="17"/>
  <c r="AP48" i="17"/>
  <c r="AP49" i="17"/>
  <c r="AP50" i="17"/>
  <c r="AO18" i="17"/>
  <c r="AO19" i="17"/>
  <c r="AO20" i="17"/>
  <c r="AO21" i="17"/>
  <c r="AO23" i="17"/>
  <c r="AO24" i="17"/>
  <c r="AO25" i="17"/>
  <c r="AO26" i="17"/>
  <c r="AO27" i="17"/>
  <c r="AO28" i="17"/>
  <c r="AO29" i="17"/>
  <c r="AO30" i="17"/>
  <c r="AO31" i="17"/>
  <c r="AO32" i="17"/>
  <c r="AO33" i="17"/>
  <c r="AO34" i="17"/>
  <c r="AO35" i="17"/>
  <c r="AO36" i="17"/>
  <c r="AO37" i="17"/>
  <c r="AO38" i="17"/>
  <c r="AO39" i="17"/>
  <c r="AO40" i="17"/>
  <c r="AO41" i="17"/>
  <c r="AO42" i="17"/>
  <c r="AO43" i="17"/>
  <c r="AO44" i="17"/>
  <c r="AO45" i="17"/>
  <c r="AO46" i="17"/>
  <c r="AO47" i="17"/>
  <c r="AO48" i="17"/>
  <c r="AO49" i="17"/>
  <c r="AO50" i="17"/>
  <c r="AH19" i="17"/>
  <c r="AI19" i="17"/>
  <c r="AH20" i="17"/>
  <c r="AI20" i="17"/>
  <c r="AH21" i="17"/>
  <c r="AH22" i="17"/>
  <c r="AI22" i="17"/>
  <c r="AH23" i="17"/>
  <c r="AI23" i="17"/>
  <c r="AH24" i="17"/>
  <c r="AI24" i="17"/>
  <c r="AH25" i="17"/>
  <c r="AI25" i="17"/>
  <c r="AH26" i="17"/>
  <c r="AI26" i="17"/>
  <c r="AH27" i="17"/>
  <c r="AI27" i="17"/>
  <c r="AH28" i="17"/>
  <c r="AI28" i="17"/>
  <c r="AI29" i="17"/>
  <c r="AH30" i="17"/>
  <c r="AI30" i="17"/>
  <c r="AH31" i="17"/>
  <c r="AI31" i="17"/>
  <c r="AH32" i="17"/>
  <c r="AI32" i="17"/>
  <c r="AH33" i="17"/>
  <c r="AI33" i="17"/>
  <c r="AH34" i="17"/>
  <c r="AI34" i="17"/>
  <c r="AH35" i="17"/>
  <c r="AI35" i="17"/>
  <c r="AH36" i="17"/>
  <c r="AI36" i="17"/>
  <c r="AH37" i="17"/>
  <c r="AI37" i="17"/>
  <c r="AH38" i="17"/>
  <c r="AI38" i="17"/>
  <c r="AH39" i="17"/>
  <c r="AI39" i="17"/>
  <c r="AH40" i="17"/>
  <c r="AI40" i="17"/>
  <c r="AH41" i="17"/>
  <c r="AI41" i="17"/>
  <c r="AH42" i="17"/>
  <c r="AI42" i="17"/>
  <c r="AH43" i="17"/>
  <c r="AI43" i="17"/>
  <c r="AH44" i="17"/>
  <c r="AI44" i="17"/>
  <c r="AH45" i="17"/>
  <c r="AI45" i="17"/>
  <c r="AH46" i="17"/>
  <c r="AI46" i="17"/>
  <c r="AH47" i="17"/>
  <c r="AI47" i="17"/>
  <c r="AH48" i="17"/>
  <c r="AI48" i="17"/>
  <c r="AH49" i="17"/>
  <c r="AI49" i="17"/>
  <c r="AH50" i="17"/>
  <c r="AI50" i="17"/>
  <c r="AI18" i="17"/>
  <c r="AH18" i="17"/>
  <c r="AB18" i="17"/>
  <c r="AB20" i="17"/>
  <c r="AB22" i="17"/>
  <c r="AB23" i="17"/>
  <c r="AB24" i="17"/>
  <c r="AB25" i="17"/>
  <c r="AB26" i="17"/>
  <c r="AB27" i="17"/>
  <c r="AB28" i="17"/>
  <c r="AB29" i="17"/>
  <c r="AB30" i="17"/>
  <c r="AB31" i="17"/>
  <c r="AB32" i="17"/>
  <c r="AB33" i="17"/>
  <c r="AB34" i="17"/>
  <c r="AB35" i="17"/>
  <c r="AB36" i="17"/>
  <c r="AB37" i="17"/>
  <c r="AB38" i="17"/>
  <c r="AB39" i="17"/>
  <c r="AB40" i="17"/>
  <c r="AB41" i="17"/>
  <c r="AB42" i="17"/>
  <c r="AB43" i="17"/>
  <c r="AB44" i="17"/>
  <c r="AB45" i="17"/>
  <c r="AB46" i="17"/>
  <c r="AB47" i="17"/>
  <c r="AB48" i="17"/>
  <c r="AB49" i="17"/>
  <c r="AB50" i="17"/>
  <c r="AA18" i="17"/>
  <c r="AA19" i="17"/>
  <c r="AA20" i="17"/>
  <c r="AA21" i="17"/>
  <c r="AA22" i="17"/>
  <c r="AA23" i="17"/>
  <c r="AA24" i="17"/>
  <c r="AA25" i="17"/>
  <c r="AA26" i="17"/>
  <c r="AA28" i="17"/>
  <c r="AA30" i="17"/>
  <c r="AA31" i="17"/>
  <c r="AA32" i="17"/>
  <c r="AA33" i="17"/>
  <c r="AA34" i="17"/>
  <c r="AA35" i="17"/>
  <c r="AA36" i="17"/>
  <c r="AA37" i="17"/>
  <c r="AA38" i="17"/>
  <c r="AA39" i="17"/>
  <c r="AA40" i="17"/>
  <c r="AA41" i="17"/>
  <c r="AA42" i="17"/>
  <c r="AA43" i="17"/>
  <c r="AA44" i="17"/>
  <c r="AA45" i="17"/>
  <c r="AA46" i="17"/>
  <c r="AA47" i="17"/>
  <c r="AA48" i="17"/>
  <c r="AA49" i="17"/>
  <c r="AA50" i="17"/>
  <c r="U18" i="17"/>
  <c r="U20" i="17"/>
  <c r="U21" i="17"/>
  <c r="U22" i="17"/>
  <c r="U23" i="17"/>
  <c r="U24" i="17"/>
  <c r="U25" i="17"/>
  <c r="U26" i="17"/>
  <c r="U27" i="17"/>
  <c r="U29" i="17"/>
  <c r="U30" i="17"/>
  <c r="U31" i="17"/>
  <c r="U32" i="17"/>
  <c r="U33" i="17"/>
  <c r="U34" i="17"/>
  <c r="U35" i="17"/>
  <c r="U36" i="17"/>
  <c r="U37" i="17"/>
  <c r="U38" i="17"/>
  <c r="U39" i="17"/>
  <c r="U40" i="17"/>
  <c r="U41" i="17"/>
  <c r="U42" i="17"/>
  <c r="U43" i="17"/>
  <c r="U44" i="17"/>
  <c r="U45" i="17"/>
  <c r="U46" i="17"/>
  <c r="U47" i="17"/>
  <c r="U48" i="17"/>
  <c r="U49" i="17"/>
  <c r="U50" i="17"/>
  <c r="T18" i="17"/>
  <c r="T19" i="17"/>
  <c r="T21" i="17"/>
  <c r="T22" i="17"/>
  <c r="T23" i="17"/>
  <c r="T25" i="17"/>
  <c r="T26" i="17"/>
  <c r="T28" i="17"/>
  <c r="T29" i="17"/>
  <c r="T30" i="17"/>
  <c r="T31" i="17"/>
  <c r="T32" i="17"/>
  <c r="T33" i="17"/>
  <c r="T34" i="17"/>
  <c r="T35" i="17"/>
  <c r="T36" i="17"/>
  <c r="T37" i="17"/>
  <c r="T38" i="17"/>
  <c r="T39" i="17"/>
  <c r="T40" i="17"/>
  <c r="T41" i="17"/>
  <c r="T42" i="17"/>
  <c r="T43" i="17"/>
  <c r="T44" i="17"/>
  <c r="T45" i="17"/>
  <c r="T46" i="17"/>
  <c r="T47" i="17"/>
  <c r="T48" i="17"/>
  <c r="T49" i="17"/>
  <c r="T50" i="17"/>
  <c r="G33" i="17"/>
  <c r="G34" i="17"/>
  <c r="G35" i="17"/>
  <c r="G36" i="17"/>
  <c r="G37" i="17"/>
  <c r="G38" i="17"/>
  <c r="G39" i="17"/>
  <c r="G40" i="17"/>
  <c r="G41" i="17"/>
  <c r="G42" i="17"/>
  <c r="G43" i="17"/>
  <c r="G44" i="17"/>
  <c r="G45" i="17"/>
  <c r="G46" i="17"/>
  <c r="G47" i="17"/>
  <c r="G48" i="17"/>
  <c r="G49" i="17"/>
  <c r="G50" i="17"/>
  <c r="F33" i="17"/>
  <c r="F34" i="17"/>
  <c r="F35" i="17"/>
  <c r="F36" i="17"/>
  <c r="F37" i="17"/>
  <c r="F38" i="17"/>
  <c r="F39" i="17"/>
  <c r="F40" i="17"/>
  <c r="F41" i="17"/>
  <c r="F42" i="17"/>
  <c r="F43" i="17"/>
  <c r="F44" i="17"/>
  <c r="F45" i="17"/>
  <c r="F46" i="17"/>
  <c r="F47" i="17"/>
  <c r="F48" i="17"/>
  <c r="F49" i="17"/>
  <c r="F50"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Y19" i="24"/>
  <c r="Y20" i="24"/>
  <c r="Y22" i="24"/>
  <c r="Y21" i="24"/>
  <c r="Y11" i="24"/>
  <c r="Y10" i="24"/>
  <c r="AG67" i="24"/>
  <c r="AG45" i="24"/>
  <c r="AG23" i="24"/>
  <c r="AE15" i="24" l="1"/>
  <c r="AE37" i="24"/>
  <c r="AF64" i="24"/>
  <c r="AE81" i="24"/>
  <c r="AF58" i="24"/>
  <c r="AE58" i="24"/>
  <c r="AE64" i="24"/>
  <c r="AG64" i="24" s="1"/>
  <c r="AF37" i="24"/>
  <c r="AE86" i="24"/>
  <c r="AF60" i="24"/>
  <c r="AF80" i="24"/>
  <c r="AF87" i="24"/>
  <c r="AE87" i="24"/>
  <c r="AF86" i="24"/>
  <c r="AE60" i="24"/>
  <c r="AE82" i="24"/>
  <c r="AF59" i="24"/>
  <c r="AF66" i="24"/>
  <c r="AE66" i="24"/>
  <c r="AE42" i="24"/>
  <c r="AE43" i="24"/>
  <c r="AE88" i="24"/>
  <c r="AF44" i="24"/>
  <c r="AF65" i="24"/>
  <c r="AF82" i="24"/>
  <c r="AF42" i="24"/>
  <c r="AF38" i="24"/>
  <c r="AE38" i="24"/>
  <c r="AF81" i="24"/>
  <c r="AE44" i="24"/>
  <c r="AF43" i="24"/>
  <c r="AE59" i="24"/>
  <c r="AE65" i="24"/>
  <c r="AF88" i="24"/>
  <c r="AF36" i="24"/>
  <c r="AE30" i="24"/>
  <c r="AE36" i="24"/>
  <c r="AE80" i="24"/>
  <c r="AE22" i="24"/>
  <c r="AF15" i="24"/>
  <c r="AE21" i="24"/>
  <c r="AE14" i="24"/>
  <c r="AE16" i="24"/>
  <c r="AF31" i="24"/>
  <c r="AE27" i="24"/>
  <c r="AE31" i="24"/>
  <c r="AE35" i="24"/>
  <c r="AE28" i="24"/>
  <c r="AE29" i="24"/>
  <c r="AF27" i="24"/>
  <c r="AF35" i="24"/>
  <c r="AF29" i="24"/>
  <c r="AF30" i="24"/>
  <c r="AF28" i="24"/>
  <c r="AF26" i="24"/>
  <c r="AE50" i="24"/>
  <c r="AF49" i="24"/>
  <c r="AE51" i="24"/>
  <c r="AE52" i="24"/>
  <c r="AE49" i="24"/>
  <c r="AF53" i="24"/>
  <c r="AE57" i="24"/>
  <c r="AF50" i="24"/>
  <c r="AE53" i="24"/>
  <c r="AF57" i="24"/>
  <c r="AF51" i="24"/>
  <c r="AF52" i="24"/>
  <c r="AF79" i="24"/>
  <c r="AE79" i="24"/>
  <c r="AE73" i="24"/>
  <c r="AE74" i="24"/>
  <c r="AF72" i="24"/>
  <c r="AE72" i="24"/>
  <c r="AE71" i="24"/>
  <c r="AE75" i="24"/>
  <c r="AF73" i="24"/>
  <c r="AF74" i="24"/>
  <c r="AF71" i="24"/>
  <c r="AF75" i="24"/>
  <c r="AF20" i="24"/>
  <c r="AF22" i="24"/>
  <c r="AF14" i="24"/>
  <c r="AF21" i="24"/>
  <c r="AF16" i="24"/>
  <c r="AE20" i="24"/>
  <c r="AE26" i="24"/>
  <c r="AE48" i="24"/>
  <c r="AE70" i="24"/>
  <c r="Y12" i="24"/>
  <c r="Y13" i="24"/>
  <c r="C9" i="18"/>
  <c r="C8" i="18"/>
  <c r="D119" i="18"/>
  <c r="C119" i="18"/>
  <c r="H2" i="25" a="1"/>
  <c r="H2" i="25" s="1"/>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14" i="22"/>
  <c r="AG89" i="24"/>
  <c r="E463" i="24" a="1"/>
  <c r="E463" i="24" s="1"/>
  <c r="E456" i="24" a="1"/>
  <c r="E456" i="24" s="1"/>
  <c r="E449" i="24" a="1"/>
  <c r="E449" i="24" s="1"/>
  <c r="E442" i="24" a="1"/>
  <c r="E442" i="24" s="1"/>
  <c r="E435" i="24" a="1"/>
  <c r="E435" i="24" s="1"/>
  <c r="E428" i="24" a="1"/>
  <c r="E428" i="24" s="1"/>
  <c r="E426" i="24" a="1"/>
  <c r="E426" i="24" s="1"/>
  <c r="E419" i="24" a="1"/>
  <c r="E419" i="24" s="1"/>
  <c r="E412" i="24" a="1"/>
  <c r="E412" i="24" s="1"/>
  <c r="E405" i="24" a="1"/>
  <c r="E405" i="24" s="1"/>
  <c r="E398" i="24" a="1"/>
  <c r="E398" i="24" s="1"/>
  <c r="E391" i="24" a="1"/>
  <c r="E391" i="24" s="1"/>
  <c r="E389" i="24" a="1"/>
  <c r="E389" i="24" s="1"/>
  <c r="E382" i="24" a="1"/>
  <c r="E382" i="24" s="1"/>
  <c r="E375" i="24" a="1"/>
  <c r="E375" i="24" s="1"/>
  <c r="E368" i="24" a="1"/>
  <c r="E368" i="24" s="1"/>
  <c r="E361" i="24" a="1"/>
  <c r="E361" i="24" s="1"/>
  <c r="E354" i="24" a="1"/>
  <c r="E354" i="24" s="1"/>
  <c r="E352" i="24" a="1"/>
  <c r="E352" i="24" s="1"/>
  <c r="E345" i="24" a="1"/>
  <c r="E345" i="24" s="1"/>
  <c r="E338" i="24" a="1"/>
  <c r="E338" i="24" s="1"/>
  <c r="E331" i="24" a="1"/>
  <c r="E331" i="24" s="1"/>
  <c r="E324" i="24" a="1"/>
  <c r="E324" i="24" s="1"/>
  <c r="E317" i="24" a="1"/>
  <c r="E317" i="24" s="1"/>
  <c r="E315" i="24" a="1"/>
  <c r="E315" i="24" s="1"/>
  <c r="E308" i="24" a="1"/>
  <c r="E308" i="24" s="1"/>
  <c r="E301" i="24" a="1"/>
  <c r="E301" i="24" s="1"/>
  <c r="E294" i="24" a="1"/>
  <c r="E294" i="24" s="1"/>
  <c r="E287" i="24" a="1"/>
  <c r="E287" i="24" s="1"/>
  <c r="E280" i="24" a="1"/>
  <c r="E280" i="24" s="1"/>
  <c r="E278" i="24" a="1"/>
  <c r="E278" i="24" s="1"/>
  <c r="E271" i="24" a="1"/>
  <c r="E271" i="24" s="1"/>
  <c r="E264" i="24" a="1"/>
  <c r="E264" i="24" s="1"/>
  <c r="E257" i="24" a="1"/>
  <c r="E257" i="24" s="1"/>
  <c r="E250" i="24" a="1"/>
  <c r="E250" i="24" s="1"/>
  <c r="E243" i="24" a="1"/>
  <c r="E243" i="24" s="1"/>
  <c r="E241" i="24" a="1"/>
  <c r="E241" i="24" s="1"/>
  <c r="E234" i="24" a="1"/>
  <c r="E234" i="24" s="1"/>
  <c r="E227" i="24" a="1"/>
  <c r="E227" i="24" s="1"/>
  <c r="E220" i="24" a="1"/>
  <c r="E220" i="24" s="1"/>
  <c r="E213" i="24" a="1"/>
  <c r="E213" i="24" s="1"/>
  <c r="E206" i="24" a="1"/>
  <c r="E206" i="24" s="1"/>
  <c r="E204" i="24" a="1"/>
  <c r="E204" i="24" s="1"/>
  <c r="E197" i="24" a="1"/>
  <c r="E197" i="24" s="1"/>
  <c r="E190" i="24" a="1"/>
  <c r="E190" i="24" s="1"/>
  <c r="E183" i="24" a="1"/>
  <c r="E183" i="24" s="1"/>
  <c r="E176" i="24" a="1"/>
  <c r="E176" i="24" s="1"/>
  <c r="E169" i="24" a="1"/>
  <c r="E169" i="24" s="1"/>
  <c r="E167" i="24" a="1"/>
  <c r="E167" i="24" s="1"/>
  <c r="E160" i="24" a="1"/>
  <c r="E160" i="24" s="1"/>
  <c r="E153" i="24" a="1"/>
  <c r="E153" i="24" s="1"/>
  <c r="E146" i="24" a="1"/>
  <c r="E146" i="24" s="1"/>
  <c r="E139" i="24" a="1"/>
  <c r="E139" i="24" s="1"/>
  <c r="E132" i="24" a="1"/>
  <c r="E132" i="24" s="1"/>
  <c r="E130" i="24" a="1"/>
  <c r="E130" i="24" s="1"/>
  <c r="E123" i="24" a="1"/>
  <c r="E123" i="24" s="1"/>
  <c r="E116" i="24" a="1"/>
  <c r="E116" i="24" s="1"/>
  <c r="E109" i="24" a="1"/>
  <c r="E109" i="24" s="1"/>
  <c r="E102" i="24" a="1"/>
  <c r="E102" i="24" s="1"/>
  <c r="E95" i="24" a="1"/>
  <c r="E95" i="24" s="1"/>
  <c r="C96" i="24"/>
  <c r="C133" i="24" s="1"/>
  <c r="C97" i="24"/>
  <c r="C134" i="24" s="1"/>
  <c r="C98" i="24"/>
  <c r="C135" i="24" s="1"/>
  <c r="C99" i="24"/>
  <c r="C136" i="24" s="1"/>
  <c r="C173" i="24" s="1"/>
  <c r="C100" i="24"/>
  <c r="C101" i="24"/>
  <c r="C138" i="24" s="1"/>
  <c r="C175" i="24" s="1"/>
  <c r="C102" i="24"/>
  <c r="C139" i="24" s="1"/>
  <c r="C176" i="24" s="1"/>
  <c r="C103" i="24"/>
  <c r="C140" i="24" s="1"/>
  <c r="C177" i="24" s="1"/>
  <c r="C104" i="24"/>
  <c r="C141" i="24" s="1"/>
  <c r="C178" i="24" s="1"/>
  <c r="C105" i="24"/>
  <c r="C142" i="24" s="1"/>
  <c r="C179" i="24" s="1"/>
  <c r="C106" i="24"/>
  <c r="C143" i="24" s="1"/>
  <c r="C180" i="24" s="1"/>
  <c r="C107" i="24"/>
  <c r="C144" i="24" s="1"/>
  <c r="C181" i="24" s="1"/>
  <c r="C108" i="24"/>
  <c r="C145" i="24" s="1"/>
  <c r="C182" i="24" s="1"/>
  <c r="C109" i="24"/>
  <c r="C146" i="24" s="1"/>
  <c r="C183" i="24" s="1"/>
  <c r="C110" i="24"/>
  <c r="C147" i="24" s="1"/>
  <c r="C184" i="24" s="1"/>
  <c r="C111" i="24"/>
  <c r="C148" i="24" s="1"/>
  <c r="C185" i="24" s="1"/>
  <c r="C112" i="24"/>
  <c r="C149" i="24" s="1"/>
  <c r="C186" i="24" s="1"/>
  <c r="C113" i="24"/>
  <c r="C150" i="24" s="1"/>
  <c r="C114" i="24"/>
  <c r="C151" i="24" s="1"/>
  <c r="C188" i="24" s="1"/>
  <c r="C115" i="24"/>
  <c r="C152" i="24" s="1"/>
  <c r="C189" i="24" s="1"/>
  <c r="C116" i="24"/>
  <c r="C153" i="24" s="1"/>
  <c r="C190" i="24" s="1"/>
  <c r="C117" i="24"/>
  <c r="C154" i="24" s="1"/>
  <c r="C191" i="24" s="1"/>
  <c r="C118" i="24"/>
  <c r="C155" i="24" s="1"/>
  <c r="C119" i="24"/>
  <c r="C156" i="24" s="1"/>
  <c r="C193" i="24" s="1"/>
  <c r="C120" i="24"/>
  <c r="C157" i="24" s="1"/>
  <c r="C194" i="24" s="1"/>
  <c r="C121" i="24"/>
  <c r="C158" i="24" s="1"/>
  <c r="C122" i="24"/>
  <c r="C159" i="24" s="1"/>
  <c r="C196" i="24" s="1"/>
  <c r="C123" i="24"/>
  <c r="C160" i="24" s="1"/>
  <c r="C197" i="24" s="1"/>
  <c r="C124" i="24"/>
  <c r="C161" i="24" s="1"/>
  <c r="C125" i="24"/>
  <c r="C162" i="24" s="1"/>
  <c r="C199" i="24" s="1"/>
  <c r="C126" i="24"/>
  <c r="C163" i="24" s="1"/>
  <c r="C127" i="24"/>
  <c r="C164" i="24" s="1"/>
  <c r="C201" i="24" s="1"/>
  <c r="C128" i="24"/>
  <c r="C165" i="24" s="1"/>
  <c r="C202" i="24" s="1"/>
  <c r="C129" i="24"/>
  <c r="C166" i="24" s="1"/>
  <c r="C130" i="24"/>
  <c r="C167" i="24" s="1"/>
  <c r="C204" i="24" s="1"/>
  <c r="C131" i="24"/>
  <c r="C168" i="24" s="1"/>
  <c r="C205" i="24" s="1"/>
  <c r="C137" i="24"/>
  <c r="C174" i="24" s="1"/>
  <c r="C95" i="24"/>
  <c r="C132" i="24" s="1"/>
  <c r="C169" i="24" s="1"/>
  <c r="E93" i="24" a="1"/>
  <c r="E93" i="24" s="1"/>
  <c r="E86" i="24" a="1"/>
  <c r="E86" i="24" s="1"/>
  <c r="E79" i="24" a="1"/>
  <c r="E79" i="24" s="1"/>
  <c r="E72" i="24" a="1"/>
  <c r="E72" i="24" s="1"/>
  <c r="E65" i="24" a="1"/>
  <c r="E65" i="24" s="1"/>
  <c r="E58" i="24" a="1"/>
  <c r="E58" i="24" s="1"/>
  <c r="E56" i="24" a="1"/>
  <c r="E56" i="24" s="1"/>
  <c r="E49" i="24" a="1"/>
  <c r="E49" i="24" s="1"/>
  <c r="E42" i="24" a="1"/>
  <c r="E42" i="24" s="1"/>
  <c r="E35" i="24" a="1"/>
  <c r="E35" i="24" s="1"/>
  <c r="E28" i="24" a="1"/>
  <c r="E28" i="24" s="1"/>
  <c r="AG60" i="24" l="1"/>
  <c r="AG58" i="24"/>
  <c r="AG66" i="24"/>
  <c r="AG38" i="24"/>
  <c r="AG42" i="24"/>
  <c r="AG20" i="24"/>
  <c r="AG65" i="24"/>
  <c r="AG59" i="24"/>
  <c r="AG28" i="24"/>
  <c r="AG27" i="24"/>
  <c r="AG50" i="24"/>
  <c r="AG35" i="24"/>
  <c r="AG14" i="24"/>
  <c r="AG29" i="24"/>
  <c r="AG49" i="24"/>
  <c r="AG30" i="24"/>
  <c r="AG31" i="24"/>
  <c r="AG22" i="24"/>
  <c r="AG16" i="24"/>
  <c r="AG21" i="24"/>
  <c r="AG15" i="24"/>
  <c r="AG36" i="24"/>
  <c r="AG44" i="24"/>
  <c r="AG43" i="24"/>
  <c r="AG61" i="24"/>
  <c r="AG26" i="24"/>
  <c r="AF48" i="24"/>
  <c r="AG48" i="24" s="1"/>
  <c r="AG57" i="24"/>
  <c r="AG53" i="24"/>
  <c r="AG52" i="24"/>
  <c r="AG51" i="24"/>
  <c r="AG74" i="24"/>
  <c r="AG79" i="24"/>
  <c r="AG71" i="24"/>
  <c r="AG72" i="24"/>
  <c r="AF70" i="24"/>
  <c r="AG70" i="24" s="1"/>
  <c r="AG75" i="24"/>
  <c r="AG73" i="24"/>
  <c r="AG37" i="24"/>
  <c r="AG87" i="24"/>
  <c r="AG88" i="24"/>
  <c r="AG82" i="24"/>
  <c r="C198" i="24"/>
  <c r="C192" i="24"/>
  <c r="C172" i="24"/>
  <c r="C203" i="24"/>
  <c r="C195" i="24"/>
  <c r="C187" i="24"/>
  <c r="C171" i="24"/>
  <c r="C200" i="24"/>
  <c r="C170" i="24"/>
  <c r="I25" i="16" a="1"/>
  <c r="I25" i="16" s="1"/>
  <c r="F25" i="16" a="1"/>
  <c r="F25" i="16" s="1"/>
  <c r="B25" i="16" l="1" a="1"/>
  <c r="B25" i="16" s="1"/>
  <c r="B360" i="22"/>
  <c r="B13" i="22"/>
  <c r="E119" i="18"/>
  <c r="B119" i="18"/>
  <c r="AG86" i="24" l="1"/>
  <c r="AG81" i="24"/>
  <c r="AE4" i="24"/>
  <c r="B204" i="22"/>
  <c r="B324" i="22"/>
  <c r="B260" i="22"/>
  <c r="B196" i="22"/>
  <c r="B132" i="22"/>
  <c r="B68" i="22"/>
  <c r="B316" i="22"/>
  <c r="B252" i="22"/>
  <c r="B188" i="22"/>
  <c r="B124" i="22"/>
  <c r="B60" i="22"/>
  <c r="B180" i="22"/>
  <c r="B300" i="22"/>
  <c r="B236" i="22"/>
  <c r="B172" i="22"/>
  <c r="B108" i="22"/>
  <c r="B44" i="22"/>
  <c r="B332" i="22"/>
  <c r="B308" i="22"/>
  <c r="B244" i="22"/>
  <c r="B356" i="22"/>
  <c r="B292" i="22"/>
  <c r="B228" i="22"/>
  <c r="B164" i="22"/>
  <c r="B100" i="22"/>
  <c r="B36" i="22"/>
  <c r="B52" i="22"/>
  <c r="B348" i="22"/>
  <c r="B284" i="22"/>
  <c r="B220" i="22"/>
  <c r="B156" i="22"/>
  <c r="B92" i="22"/>
  <c r="B28" i="22"/>
  <c r="B268" i="22"/>
  <c r="B116" i="22"/>
  <c r="B340" i="22"/>
  <c r="B276" i="22"/>
  <c r="B212" i="22"/>
  <c r="B148" i="22"/>
  <c r="B84" i="22"/>
  <c r="B20" i="22"/>
  <c r="B140" i="22"/>
  <c r="B76" i="22"/>
  <c r="B347" i="22"/>
  <c r="B331" i="22"/>
  <c r="B315" i="22"/>
  <c r="B299" i="22"/>
  <c r="B283" i="22"/>
  <c r="B267" i="22"/>
  <c r="B243" i="22"/>
  <c r="B227" i="22"/>
  <c r="B211" i="22"/>
  <c r="B195" i="22"/>
  <c r="B179" i="22"/>
  <c r="B163" i="22"/>
  <c r="B147" i="22"/>
  <c r="B131" i="22"/>
  <c r="B99" i="22"/>
  <c r="B75" i="22"/>
  <c r="B59" i="22"/>
  <c r="B35" i="22"/>
  <c r="B19" i="22"/>
  <c r="B354" i="22"/>
  <c r="B346" i="22"/>
  <c r="B338" i="22"/>
  <c r="B330" i="22"/>
  <c r="B322" i="22"/>
  <c r="B314" i="22"/>
  <c r="B306" i="22"/>
  <c r="B298" i="22"/>
  <c r="B290" i="22"/>
  <c r="B282" i="22"/>
  <c r="B274" i="22"/>
  <c r="B266" i="22"/>
  <c r="B258" i="22"/>
  <c r="B250" i="22"/>
  <c r="B242" i="22"/>
  <c r="B234" i="22"/>
  <c r="B226" i="22"/>
  <c r="B218" i="22"/>
  <c r="B210" i="22"/>
  <c r="B202" i="22"/>
  <c r="B194" i="22"/>
  <c r="B186" i="22"/>
  <c r="B178" i="22"/>
  <c r="B170" i="22"/>
  <c r="B162" i="22"/>
  <c r="B154" i="22"/>
  <c r="B146" i="22"/>
  <c r="B138" i="22"/>
  <c r="B130" i="22"/>
  <c r="B122" i="22"/>
  <c r="B114" i="22"/>
  <c r="B106" i="22"/>
  <c r="B98" i="22"/>
  <c r="B90" i="22"/>
  <c r="B82" i="22"/>
  <c r="B74" i="22"/>
  <c r="B66" i="22"/>
  <c r="B58" i="22"/>
  <c r="B50" i="22"/>
  <c r="B42" i="22"/>
  <c r="B34" i="22"/>
  <c r="B26" i="22"/>
  <c r="B18" i="22"/>
  <c r="B355" i="22"/>
  <c r="B339" i="22"/>
  <c r="B323" i="22"/>
  <c r="B307" i="22"/>
  <c r="B291" i="22"/>
  <c r="B275" i="22"/>
  <c r="B259" i="22"/>
  <c r="B251" i="22"/>
  <c r="B235" i="22"/>
  <c r="B219" i="22"/>
  <c r="B203" i="22"/>
  <c r="B187" i="22"/>
  <c r="B171" i="22"/>
  <c r="B155" i="22"/>
  <c r="B139" i="22"/>
  <c r="B123" i="22"/>
  <c r="B115" i="22"/>
  <c r="B107" i="22"/>
  <c r="B91" i="22"/>
  <c r="B83" i="22"/>
  <c r="B67" i="22"/>
  <c r="B51" i="22"/>
  <c r="B43" i="22"/>
  <c r="B27" i="22"/>
  <c r="B353" i="22"/>
  <c r="B345" i="22"/>
  <c r="B337" i="22"/>
  <c r="B329" i="22"/>
  <c r="B321" i="22"/>
  <c r="B313" i="22"/>
  <c r="B305" i="22"/>
  <c r="B297" i="22"/>
  <c r="B289" i="22"/>
  <c r="B281" i="22"/>
  <c r="B273" i="22"/>
  <c r="B265" i="22"/>
  <c r="B257" i="22"/>
  <c r="B249" i="22"/>
  <c r="B241" i="22"/>
  <c r="B233" i="22"/>
  <c r="B225" i="22"/>
  <c r="B217" i="22"/>
  <c r="B209" i="22"/>
  <c r="B201" i="22"/>
  <c r="B193" i="22"/>
  <c r="B185" i="22"/>
  <c r="B177" i="22"/>
  <c r="B169" i="22"/>
  <c r="B161" i="22"/>
  <c r="B153" i="22"/>
  <c r="B145" i="22"/>
  <c r="B137" i="22"/>
  <c r="B129" i="22"/>
  <c r="B121" i="22"/>
  <c r="B113" i="22"/>
  <c r="B105" i="22"/>
  <c r="B97" i="22"/>
  <c r="B89" i="22"/>
  <c r="B81" i="22"/>
  <c r="B73" i="22"/>
  <c r="B65" i="22"/>
  <c r="B57" i="22"/>
  <c r="B49" i="22"/>
  <c r="B41" i="22"/>
  <c r="B33" i="22"/>
  <c r="B25" i="22"/>
  <c r="B17" i="22"/>
  <c r="B344" i="22"/>
  <c r="B328" i="22"/>
  <c r="B312" i="22"/>
  <c r="B296" i="22"/>
  <c r="B280" i="22"/>
  <c r="B264" i="22"/>
  <c r="B248" i="22"/>
  <c r="B240" i="22"/>
  <c r="B224" i="22"/>
  <c r="B208" i="22"/>
  <c r="B192" i="22"/>
  <c r="B176" i="22"/>
  <c r="B160" i="22"/>
  <c r="B152" i="22"/>
  <c r="B136" i="22"/>
  <c r="B120" i="22"/>
  <c r="B112" i="22"/>
  <c r="B96" i="22"/>
  <c r="B80" i="22"/>
  <c r="B64" i="22"/>
  <c r="B48" i="22"/>
  <c r="B40" i="22"/>
  <c r="B32" i="22"/>
  <c r="B16" i="22"/>
  <c r="B359" i="22"/>
  <c r="B351" i="22"/>
  <c r="B343" i="22"/>
  <c r="B335" i="22"/>
  <c r="B327" i="22"/>
  <c r="B319" i="22"/>
  <c r="B311" i="22"/>
  <c r="B303" i="22"/>
  <c r="B295" i="22"/>
  <c r="B287" i="22"/>
  <c r="B279" i="22"/>
  <c r="B271" i="22"/>
  <c r="B263" i="22"/>
  <c r="B255" i="22"/>
  <c r="B247" i="22"/>
  <c r="B239" i="22"/>
  <c r="B231" i="22"/>
  <c r="B223" i="22"/>
  <c r="B215" i="22"/>
  <c r="B207" i="22"/>
  <c r="B199" i="22"/>
  <c r="B191" i="22"/>
  <c r="B183" i="22"/>
  <c r="B175" i="22"/>
  <c r="B167" i="22"/>
  <c r="B159" i="22"/>
  <c r="B151" i="22"/>
  <c r="B143" i="22"/>
  <c r="B135" i="22"/>
  <c r="B127" i="22"/>
  <c r="B119" i="22"/>
  <c r="B111" i="22"/>
  <c r="B103" i="22"/>
  <c r="B95" i="22"/>
  <c r="B87" i="22"/>
  <c r="B79" i="22"/>
  <c r="B71" i="22"/>
  <c r="B63" i="22"/>
  <c r="B55" i="22"/>
  <c r="B47" i="22"/>
  <c r="B39" i="22"/>
  <c r="B31" i="22"/>
  <c r="B23" i="22"/>
  <c r="B15" i="22"/>
  <c r="B352" i="22"/>
  <c r="B336" i="22"/>
  <c r="B320" i="22"/>
  <c r="B304" i="22"/>
  <c r="B288" i="22"/>
  <c r="B272" i="22"/>
  <c r="B256" i="22"/>
  <c r="B232" i="22"/>
  <c r="B216" i="22"/>
  <c r="B200" i="22"/>
  <c r="B184" i="22"/>
  <c r="B168" i="22"/>
  <c r="B144" i="22"/>
  <c r="B128" i="22"/>
  <c r="B104" i="22"/>
  <c r="B88" i="22"/>
  <c r="B72" i="22"/>
  <c r="B56" i="22"/>
  <c r="B24" i="22"/>
  <c r="B358" i="22"/>
  <c r="B350" i="22"/>
  <c r="B342" i="22"/>
  <c r="B334" i="22"/>
  <c r="B326" i="22"/>
  <c r="B318" i="22"/>
  <c r="B310" i="22"/>
  <c r="B302" i="22"/>
  <c r="B294" i="22"/>
  <c r="B286" i="22"/>
  <c r="B278" i="22"/>
  <c r="B270" i="22"/>
  <c r="B262" i="22"/>
  <c r="B254" i="22"/>
  <c r="B246" i="22"/>
  <c r="B238" i="22"/>
  <c r="B230" i="22"/>
  <c r="B222" i="22"/>
  <c r="B214" i="22"/>
  <c r="B206" i="22"/>
  <c r="B198" i="22"/>
  <c r="B190" i="22"/>
  <c r="B182" i="22"/>
  <c r="B174" i="22"/>
  <c r="B166" i="22"/>
  <c r="B158" i="22"/>
  <c r="B150" i="22"/>
  <c r="B142" i="22"/>
  <c r="B134" i="22"/>
  <c r="B126" i="22"/>
  <c r="B118" i="22"/>
  <c r="B110" i="22"/>
  <c r="B102" i="22"/>
  <c r="B94" i="22"/>
  <c r="B86" i="22"/>
  <c r="B78" i="22"/>
  <c r="B70" i="22"/>
  <c r="B62" i="22"/>
  <c r="B54" i="22"/>
  <c r="B46" i="22"/>
  <c r="B38" i="22"/>
  <c r="B30" i="22"/>
  <c r="B22" i="22"/>
  <c r="B14" i="22"/>
  <c r="B357" i="22"/>
  <c r="B349" i="22"/>
  <c r="B341" i="22"/>
  <c r="B333" i="22"/>
  <c r="B325" i="22"/>
  <c r="B317" i="22"/>
  <c r="B309" i="22"/>
  <c r="B301" i="22"/>
  <c r="B293" i="22"/>
  <c r="B285" i="22"/>
  <c r="B277" i="22"/>
  <c r="B269" i="22"/>
  <c r="B261" i="22"/>
  <c r="B253" i="22"/>
  <c r="B245" i="22"/>
  <c r="B237" i="22"/>
  <c r="B229" i="22"/>
  <c r="B221" i="22"/>
  <c r="B213" i="22"/>
  <c r="B205" i="22"/>
  <c r="B197" i="22"/>
  <c r="B189" i="22"/>
  <c r="B181" i="22"/>
  <c r="B173" i="22"/>
  <c r="B165" i="22"/>
  <c r="B157" i="22"/>
  <c r="B149" i="22"/>
  <c r="B141" i="22"/>
  <c r="B133" i="22"/>
  <c r="B125" i="22"/>
  <c r="B117" i="22"/>
  <c r="B109" i="22"/>
  <c r="B101" i="22"/>
  <c r="B93" i="22"/>
  <c r="B85" i="22"/>
  <c r="B77" i="22"/>
  <c r="B69" i="22"/>
  <c r="B61" i="22"/>
  <c r="B53" i="22"/>
  <c r="B45" i="22"/>
  <c r="B37" i="22"/>
  <c r="B29" i="22"/>
  <c r="B21" i="22"/>
  <c r="AE9" i="24"/>
  <c r="AD139" i="24" l="1"/>
  <c r="E13" i="18" s="1"/>
  <c r="AD149" i="24"/>
  <c r="E23" i="18" s="1"/>
  <c r="AD143" i="24"/>
  <c r="E17" i="18" s="1"/>
  <c r="AD141" i="24"/>
  <c r="E15" i="18" s="1"/>
  <c r="AD148" i="24"/>
  <c r="E22" i="18" s="1"/>
  <c r="AD145" i="24"/>
  <c r="E19" i="18" s="1"/>
  <c r="AD140" i="24"/>
  <c r="E14" i="18" s="1"/>
  <c r="AD142" i="24"/>
  <c r="E16" i="18" s="1"/>
  <c r="AD144" i="24"/>
  <c r="E18" i="18" s="1"/>
  <c r="AD147" i="24"/>
  <c r="E21" i="18" s="1"/>
  <c r="AD146" i="24"/>
  <c r="E20" i="18" s="1"/>
  <c r="AE143" i="24"/>
  <c r="AD138" i="24"/>
  <c r="E12" i="18" s="1"/>
  <c r="AF9" i="24"/>
  <c r="AG9" i="24" s="1"/>
  <c r="AE7" i="24"/>
  <c r="AE6" i="24"/>
  <c r="AF6" i="24"/>
  <c r="AF7" i="24"/>
  <c r="AE139" i="24"/>
  <c r="AE145" i="24"/>
  <c r="AE141" i="24"/>
  <c r="AE147" i="24"/>
  <c r="AE149" i="24"/>
  <c r="AE146" i="24"/>
  <c r="AE148" i="24"/>
  <c r="AE142" i="24"/>
  <c r="AE144" i="24"/>
  <c r="AE138" i="24"/>
  <c r="AE140" i="24"/>
  <c r="AG80" i="24"/>
  <c r="AF5" i="24"/>
  <c r="AE13" i="24"/>
  <c r="AE8" i="24"/>
  <c r="B13" i="14" a="1"/>
  <c r="B13" i="14" s="1"/>
  <c r="AF143" i="24" l="1"/>
  <c r="E24" i="18"/>
  <c r="F17" i="18"/>
  <c r="AG7" i="24"/>
  <c r="AG6" i="24"/>
  <c r="AE5" i="24"/>
  <c r="AG5" i="24" s="1"/>
  <c r="AF146" i="24"/>
  <c r="F20" i="18"/>
  <c r="AF149" i="24"/>
  <c r="F23" i="18"/>
  <c r="AF147" i="24"/>
  <c r="F21" i="18"/>
  <c r="AF138" i="24"/>
  <c r="F12" i="18"/>
  <c r="AF145" i="24"/>
  <c r="F19" i="18"/>
  <c r="AF140" i="24"/>
  <c r="F14" i="18"/>
  <c r="AF144" i="24"/>
  <c r="F18" i="18"/>
  <c r="AF139" i="24"/>
  <c r="F13" i="18"/>
  <c r="AF141" i="24"/>
  <c r="F15" i="18"/>
  <c r="AF142" i="24"/>
  <c r="F16" i="18"/>
  <c r="AF148" i="24"/>
  <c r="F22" i="18"/>
  <c r="AF13" i="24"/>
  <c r="AG13" i="24" s="1"/>
  <c r="AF8" i="24"/>
  <c r="AG8" i="24" s="1"/>
  <c r="G13" i="14"/>
  <c r="F13" i="14"/>
  <c r="E13" i="14"/>
  <c r="D13" i="14"/>
  <c r="C13" i="14"/>
  <c r="C12" i="14" s="1"/>
  <c r="H13" i="14"/>
  <c r="F24" i="18" l="1"/>
  <c r="D21" i="24" a="1"/>
  <c r="B26" i="14"/>
  <c r="B23" i="14" a="1"/>
  <c r="C23" i="14" s="1"/>
  <c r="B17" i="14" a="1"/>
  <c r="F17" i="14" s="1"/>
  <c r="B21" i="14" a="1"/>
  <c r="F21" i="14" s="1"/>
  <c r="B15" i="14" a="1"/>
  <c r="H15" i="14" s="1"/>
  <c r="B19" i="14" a="1"/>
  <c r="E19" i="14" s="1"/>
  <c r="C26" i="14"/>
  <c r="F27" i="24" l="1"/>
  <c r="F26" i="24"/>
  <c r="F24" i="24"/>
  <c r="F23" i="24"/>
  <c r="F22" i="24"/>
  <c r="F25" i="24"/>
  <c r="D21" i="24"/>
  <c r="F21" i="24" s="1"/>
  <c r="AF4" i="24"/>
  <c r="AG4" i="24" s="1"/>
  <c r="D12" i="14"/>
  <c r="B29" i="14" a="1"/>
  <c r="C29" i="14" s="1"/>
  <c r="B23" i="14"/>
  <c r="G15" i="14"/>
  <c r="D15" i="14"/>
  <c r="F15" i="14"/>
  <c r="F19" i="14"/>
  <c r="B19" i="14"/>
  <c r="G19" i="14"/>
  <c r="E17" i="14"/>
  <c r="C19" i="14"/>
  <c r="B31" i="14" a="1"/>
  <c r="G31" i="14" s="1"/>
  <c r="H19" i="14"/>
  <c r="B17" i="14"/>
  <c r="B33" i="14" a="1"/>
  <c r="B33" i="14" s="1"/>
  <c r="D19" i="14"/>
  <c r="G17" i="14"/>
  <c r="B37" i="14" a="1"/>
  <c r="B37" i="14" s="1"/>
  <c r="C42" i="14"/>
  <c r="B42" i="14"/>
  <c r="B35" i="14" a="1"/>
  <c r="H35" i="14" s="1"/>
  <c r="C21" i="14"/>
  <c r="G21" i="14"/>
  <c r="D21" i="14"/>
  <c r="B21" i="14"/>
  <c r="H21" i="14"/>
  <c r="H17" i="14"/>
  <c r="C17" i="14"/>
  <c r="D17" i="14"/>
  <c r="B15" i="14"/>
  <c r="C15" i="14"/>
  <c r="E15" i="14"/>
  <c r="E21" i="14"/>
  <c r="B39" i="14" a="1"/>
  <c r="D56" i="24" l="1" a="1"/>
  <c r="F57" i="24" s="1"/>
  <c r="D49" i="24" a="1"/>
  <c r="D42" i="24" a="1"/>
  <c r="D28" i="24" a="1"/>
  <c r="D35" i="24" a="1"/>
  <c r="B58" i="14"/>
  <c r="E12" i="14"/>
  <c r="H12" i="14"/>
  <c r="F12" i="14"/>
  <c r="G12" i="14"/>
  <c r="F29" i="14"/>
  <c r="G29" i="14"/>
  <c r="D29" i="14"/>
  <c r="E29" i="14"/>
  <c r="H29" i="14"/>
  <c r="B29" i="14"/>
  <c r="C28" i="14"/>
  <c r="B45" i="14" a="1"/>
  <c r="G45" i="14" s="1"/>
  <c r="H33" i="14"/>
  <c r="C31" i="14"/>
  <c r="F31" i="14"/>
  <c r="E31" i="14"/>
  <c r="C35" i="14"/>
  <c r="G33" i="14"/>
  <c r="B31" i="14"/>
  <c r="C58" i="14"/>
  <c r="H37" i="14"/>
  <c r="D31" i="14"/>
  <c r="H31" i="14"/>
  <c r="C37" i="14"/>
  <c r="C33" i="14"/>
  <c r="D37" i="14"/>
  <c r="B51" i="14" a="1"/>
  <c r="G51" i="14" s="1"/>
  <c r="E33" i="14"/>
  <c r="F33" i="14"/>
  <c r="D33" i="14"/>
  <c r="E37" i="14"/>
  <c r="G37" i="14"/>
  <c r="F37" i="14"/>
  <c r="F35" i="14"/>
  <c r="D35" i="14"/>
  <c r="B35" i="14"/>
  <c r="E35" i="14"/>
  <c r="G35" i="14"/>
  <c r="B47" i="14" a="1"/>
  <c r="B53" i="14" a="1"/>
  <c r="B49" i="14" a="1"/>
  <c r="B55" i="14" a="1"/>
  <c r="C39" i="14"/>
  <c r="B39" i="14"/>
  <c r="F34" i="24" l="1"/>
  <c r="F32" i="24"/>
  <c r="F31" i="24"/>
  <c r="F30" i="24"/>
  <c r="F29" i="24"/>
  <c r="F33" i="24"/>
  <c r="F44" i="24"/>
  <c r="F43" i="24"/>
  <c r="F48" i="24"/>
  <c r="F47" i="24"/>
  <c r="F46" i="24"/>
  <c r="F45" i="24"/>
  <c r="F36" i="24"/>
  <c r="F41" i="24"/>
  <c r="F40" i="24"/>
  <c r="F39" i="24"/>
  <c r="F38" i="24"/>
  <c r="F37" i="24"/>
  <c r="F55" i="24"/>
  <c r="F53" i="24"/>
  <c r="F51" i="24"/>
  <c r="F52" i="24"/>
  <c r="F54" i="24"/>
  <c r="F50" i="24"/>
  <c r="D72" i="24" a="1"/>
  <c r="D49" i="24"/>
  <c r="F49" i="24" s="1"/>
  <c r="D42" i="24"/>
  <c r="F42" i="24" s="1"/>
  <c r="D35" i="24"/>
  <c r="F35" i="24" s="1"/>
  <c r="D58" i="24" a="1"/>
  <c r="D93" i="24" a="1"/>
  <c r="F94" i="24" s="1"/>
  <c r="D79" i="24" a="1"/>
  <c r="D65" i="24" a="1"/>
  <c r="D86" i="24" a="1"/>
  <c r="D28" i="24"/>
  <c r="F28" i="24" s="1"/>
  <c r="D56" i="24"/>
  <c r="F56" i="24" s="1"/>
  <c r="H45" i="14"/>
  <c r="F28" i="14"/>
  <c r="E28" i="14"/>
  <c r="D28" i="14"/>
  <c r="B69" i="14" a="1"/>
  <c r="C69" i="14" s="1"/>
  <c r="H28" i="14"/>
  <c r="G28" i="14"/>
  <c r="B28" i="14"/>
  <c r="G44" i="14"/>
  <c r="E45" i="14"/>
  <c r="B45" i="14"/>
  <c r="D45" i="14"/>
  <c r="C45" i="14"/>
  <c r="F45" i="14"/>
  <c r="F51" i="14"/>
  <c r="B74" i="14"/>
  <c r="C51" i="14"/>
  <c r="B51" i="14"/>
  <c r="H51" i="14"/>
  <c r="E51" i="14"/>
  <c r="D51" i="14"/>
  <c r="B67" i="14" a="1"/>
  <c r="D67" i="14" s="1"/>
  <c r="B65" i="14" a="1"/>
  <c r="D65" i="14" s="1"/>
  <c r="B61" i="14" a="1"/>
  <c r="G61" i="14" s="1"/>
  <c r="C74" i="14"/>
  <c r="C49" i="14"/>
  <c r="D49" i="14"/>
  <c r="B49" i="14"/>
  <c r="F49" i="14"/>
  <c r="E49" i="14"/>
  <c r="G49" i="14"/>
  <c r="H49" i="14"/>
  <c r="B63" i="14" a="1"/>
  <c r="B71" i="14" a="1"/>
  <c r="F47" i="14"/>
  <c r="B47" i="14"/>
  <c r="D47" i="14"/>
  <c r="H47" i="14"/>
  <c r="G47" i="14"/>
  <c r="C47" i="14"/>
  <c r="E47" i="14"/>
  <c r="C53" i="14"/>
  <c r="E53" i="14"/>
  <c r="G53" i="14"/>
  <c r="F53" i="14"/>
  <c r="B53" i="14"/>
  <c r="D53" i="14"/>
  <c r="H53" i="14"/>
  <c r="B55" i="14"/>
  <c r="C55" i="14"/>
  <c r="F70" i="24" l="1"/>
  <c r="F69" i="24"/>
  <c r="F68" i="24"/>
  <c r="F71" i="24"/>
  <c r="F67" i="24"/>
  <c r="F66" i="24"/>
  <c r="F92" i="24"/>
  <c r="F89" i="24"/>
  <c r="F91" i="24"/>
  <c r="F88" i="24"/>
  <c r="F90" i="24"/>
  <c r="F87" i="24"/>
  <c r="F82" i="24"/>
  <c r="F80" i="24"/>
  <c r="F83" i="24"/>
  <c r="F81" i="24"/>
  <c r="F84" i="24"/>
  <c r="F85" i="24"/>
  <c r="F73" i="24"/>
  <c r="F78" i="24"/>
  <c r="F77" i="24"/>
  <c r="F76" i="24"/>
  <c r="F75" i="24"/>
  <c r="F74" i="24"/>
  <c r="F63" i="24"/>
  <c r="F64" i="24"/>
  <c r="F61" i="24"/>
  <c r="F62" i="24"/>
  <c r="F59" i="24"/>
  <c r="F60" i="24"/>
  <c r="D95" i="24" a="1"/>
  <c r="D86" i="24"/>
  <c r="F86" i="24" s="1"/>
  <c r="D116" i="24" a="1"/>
  <c r="D65" i="24"/>
  <c r="F65" i="24" s="1"/>
  <c r="D130" i="24" a="1"/>
  <c r="F131" i="24" s="1"/>
  <c r="D79" i="24"/>
  <c r="F79" i="24" s="1"/>
  <c r="D123" i="24" a="1"/>
  <c r="D93" i="24"/>
  <c r="F93" i="24" s="1"/>
  <c r="D102" i="24" a="1"/>
  <c r="D109" i="24" a="1"/>
  <c r="D58" i="24"/>
  <c r="F58" i="24" s="1"/>
  <c r="D72" i="24"/>
  <c r="F72" i="24" s="1"/>
  <c r="H44" i="14"/>
  <c r="F69" i="14"/>
  <c r="E69" i="14"/>
  <c r="B69" i="14"/>
  <c r="G69" i="14"/>
  <c r="D69" i="14"/>
  <c r="H69" i="14"/>
  <c r="B79" i="14" a="1"/>
  <c r="H79" i="14" s="1"/>
  <c r="C44" i="14"/>
  <c r="D44" i="14"/>
  <c r="E44" i="14"/>
  <c r="G60" i="14"/>
  <c r="F44" i="14"/>
  <c r="B81" i="14" a="1"/>
  <c r="D81" i="14" s="1"/>
  <c r="B44" i="14"/>
  <c r="C90" i="14"/>
  <c r="H65" i="14"/>
  <c r="C65" i="14"/>
  <c r="E65" i="14"/>
  <c r="F65" i="14"/>
  <c r="G65" i="14"/>
  <c r="B67" i="14"/>
  <c r="H67" i="14"/>
  <c r="G67" i="14"/>
  <c r="F67" i="14"/>
  <c r="C67" i="14"/>
  <c r="E67" i="14"/>
  <c r="B61" i="14"/>
  <c r="B65" i="14"/>
  <c r="C61" i="14"/>
  <c r="F61" i="14"/>
  <c r="H61" i="14"/>
  <c r="B87" i="14" a="1"/>
  <c r="C87" i="14" s="1"/>
  <c r="B85" i="14" a="1"/>
  <c r="E85" i="14" s="1"/>
  <c r="E61" i="14"/>
  <c r="B90" i="14"/>
  <c r="B83" i="14" a="1"/>
  <c r="D83" i="14" s="1"/>
  <c r="D61" i="14"/>
  <c r="B77" i="14" a="1"/>
  <c r="B77" i="14" s="1"/>
  <c r="C63" i="14"/>
  <c r="H63" i="14"/>
  <c r="B63" i="14"/>
  <c r="G63" i="14"/>
  <c r="F63" i="14"/>
  <c r="D63" i="14"/>
  <c r="E63" i="14"/>
  <c r="B71" i="14"/>
  <c r="C71" i="14"/>
  <c r="F114" i="24" l="1"/>
  <c r="F110" i="24"/>
  <c r="F112" i="24"/>
  <c r="F113" i="24"/>
  <c r="F115" i="24"/>
  <c r="F111" i="24"/>
  <c r="F105" i="24"/>
  <c r="F104" i="24"/>
  <c r="F108" i="24"/>
  <c r="F103" i="24"/>
  <c r="F107" i="24"/>
  <c r="F106" i="24"/>
  <c r="F97" i="24"/>
  <c r="F96" i="24"/>
  <c r="F99" i="24"/>
  <c r="F100" i="24"/>
  <c r="F98" i="24"/>
  <c r="F101" i="24"/>
  <c r="F120" i="24"/>
  <c r="F117" i="24"/>
  <c r="F119" i="24"/>
  <c r="F118" i="24"/>
  <c r="F122" i="24"/>
  <c r="F121" i="24"/>
  <c r="F128" i="24"/>
  <c r="F127" i="24"/>
  <c r="F124" i="24"/>
  <c r="F126" i="24"/>
  <c r="F125" i="24"/>
  <c r="F129" i="24"/>
  <c r="D123" i="24"/>
  <c r="F123" i="24" s="1"/>
  <c r="D109" i="24"/>
  <c r="F109" i="24" s="1"/>
  <c r="D130" i="24"/>
  <c r="F130" i="24" s="1"/>
  <c r="D167" i="24" a="1"/>
  <c r="F168" i="24" s="1"/>
  <c r="D139" i="24" a="1"/>
  <c r="D116" i="24"/>
  <c r="F116" i="24" s="1"/>
  <c r="D153" i="24" a="1"/>
  <c r="D102" i="24"/>
  <c r="F102" i="24" s="1"/>
  <c r="D95" i="24"/>
  <c r="F95" i="24" s="1"/>
  <c r="D160" i="24" a="1"/>
  <c r="D146" i="24" a="1"/>
  <c r="D132" i="24" a="1"/>
  <c r="E79" i="14"/>
  <c r="F79" i="14"/>
  <c r="C79" i="14"/>
  <c r="G79" i="14"/>
  <c r="B79" i="14"/>
  <c r="D79" i="14"/>
  <c r="F81" i="14"/>
  <c r="E81" i="14"/>
  <c r="C81" i="14"/>
  <c r="H81" i="14"/>
  <c r="G81" i="14"/>
  <c r="B81" i="14"/>
  <c r="C106" i="14"/>
  <c r="E60" i="14"/>
  <c r="C60" i="14"/>
  <c r="D60" i="14"/>
  <c r="H60" i="14"/>
  <c r="F60" i="14"/>
  <c r="B60" i="14"/>
  <c r="B76" i="14"/>
  <c r="G85" i="14"/>
  <c r="B103" i="14" a="1"/>
  <c r="C103" i="14" s="1"/>
  <c r="B106" i="14"/>
  <c r="B95" i="14" a="1"/>
  <c r="C95" i="14" s="1"/>
  <c r="B99" i="14" a="1"/>
  <c r="C99" i="14" s="1"/>
  <c r="B97" i="14" a="1"/>
  <c r="D97" i="14" s="1"/>
  <c r="B101" i="14" a="1"/>
  <c r="D101" i="14" s="1"/>
  <c r="B93" i="14" a="1"/>
  <c r="F93" i="14" s="1"/>
  <c r="C83" i="14"/>
  <c r="H85" i="14"/>
  <c r="B87" i="14"/>
  <c r="F83" i="14"/>
  <c r="F77" i="14"/>
  <c r="H77" i="14"/>
  <c r="G77" i="14"/>
  <c r="H83" i="14"/>
  <c r="E83" i="14"/>
  <c r="F85" i="14"/>
  <c r="C77" i="14"/>
  <c r="E77" i="14"/>
  <c r="D85" i="14"/>
  <c r="B85" i="14"/>
  <c r="B83" i="14"/>
  <c r="G83" i="14"/>
  <c r="C85" i="14"/>
  <c r="D77" i="14"/>
  <c r="F163" i="24" l="1"/>
  <c r="F162" i="24"/>
  <c r="F166" i="24"/>
  <c r="F161" i="24"/>
  <c r="F165" i="24"/>
  <c r="F164" i="24"/>
  <c r="F151" i="24"/>
  <c r="F149" i="24"/>
  <c r="F150" i="24"/>
  <c r="F148" i="24"/>
  <c r="F147" i="24"/>
  <c r="F152" i="24"/>
  <c r="F159" i="24"/>
  <c r="F158" i="24"/>
  <c r="F154" i="24"/>
  <c r="F156" i="24"/>
  <c r="F155" i="24"/>
  <c r="F157" i="24"/>
  <c r="F144" i="24"/>
  <c r="F141" i="24"/>
  <c r="F142" i="24"/>
  <c r="F143" i="24"/>
  <c r="F145" i="24"/>
  <c r="F140" i="24"/>
  <c r="F136" i="24"/>
  <c r="F135" i="24"/>
  <c r="F138" i="24"/>
  <c r="F137" i="24"/>
  <c r="F134" i="24"/>
  <c r="F133" i="24"/>
  <c r="D183" i="24" a="1"/>
  <c r="D132" i="24"/>
  <c r="F132" i="24" s="1"/>
  <c r="D139" i="24"/>
  <c r="F139" i="24" s="1"/>
  <c r="D190" i="24" a="1"/>
  <c r="D176" i="24" a="1"/>
  <c r="D146" i="24"/>
  <c r="F146" i="24" s="1"/>
  <c r="D167" i="24"/>
  <c r="F167" i="24" s="1"/>
  <c r="D169" i="24" a="1"/>
  <c r="D153" i="24"/>
  <c r="F153" i="24" s="1"/>
  <c r="D197" i="24" a="1"/>
  <c r="D204" i="24" a="1"/>
  <c r="F205" i="24" s="1"/>
  <c r="D160" i="24"/>
  <c r="F160" i="24" s="1"/>
  <c r="B138" i="14"/>
  <c r="B119" i="14" a="1"/>
  <c r="C119" i="14" s="1"/>
  <c r="F92" i="14"/>
  <c r="C122" i="14"/>
  <c r="G76" i="14"/>
  <c r="H76" i="14"/>
  <c r="F76" i="14"/>
  <c r="E76" i="14"/>
  <c r="C76" i="14"/>
  <c r="D76" i="14"/>
  <c r="B111" i="14" a="1"/>
  <c r="C111" i="14" s="1"/>
  <c r="B113" i="14" a="1"/>
  <c r="C113" i="14" s="1"/>
  <c r="B109" i="14" a="1"/>
  <c r="E109" i="14" s="1"/>
  <c r="B103" i="14"/>
  <c r="E95" i="14"/>
  <c r="B115" i="14" a="1"/>
  <c r="B115" i="14" s="1"/>
  <c r="G97" i="14"/>
  <c r="C97" i="14"/>
  <c r="B117" i="14" a="1"/>
  <c r="H117" i="14" s="1"/>
  <c r="E97" i="14"/>
  <c r="H101" i="14"/>
  <c r="C101" i="14"/>
  <c r="B122" i="14"/>
  <c r="F97" i="14"/>
  <c r="B97" i="14"/>
  <c r="C93" i="14"/>
  <c r="G95" i="14"/>
  <c r="H97" i="14"/>
  <c r="H99" i="14"/>
  <c r="D99" i="14"/>
  <c r="E99" i="14"/>
  <c r="B99" i="14"/>
  <c r="G99" i="14"/>
  <c r="F99" i="14"/>
  <c r="B101" i="14"/>
  <c r="G101" i="14"/>
  <c r="D95" i="14"/>
  <c r="F101" i="14"/>
  <c r="E101" i="14"/>
  <c r="H95" i="14"/>
  <c r="B95" i="14"/>
  <c r="B93" i="14"/>
  <c r="E93" i="14"/>
  <c r="G93" i="14"/>
  <c r="H93" i="14"/>
  <c r="D93" i="14"/>
  <c r="F95" i="14"/>
  <c r="F200" i="24" l="1"/>
  <c r="F199" i="24"/>
  <c r="F198" i="24"/>
  <c r="F203" i="24"/>
  <c r="F202" i="24"/>
  <c r="F201" i="24"/>
  <c r="F184" i="24"/>
  <c r="F189" i="24"/>
  <c r="F188" i="24"/>
  <c r="F187" i="24"/>
  <c r="F186" i="24"/>
  <c r="F185" i="24"/>
  <c r="F171" i="24"/>
  <c r="F170" i="24"/>
  <c r="F175" i="24"/>
  <c r="F174" i="24"/>
  <c r="F173" i="24"/>
  <c r="F172" i="24"/>
  <c r="F177" i="24"/>
  <c r="F179" i="24"/>
  <c r="F181" i="24"/>
  <c r="F182" i="24"/>
  <c r="F178" i="24"/>
  <c r="F180" i="24"/>
  <c r="F192" i="24"/>
  <c r="F191" i="24"/>
  <c r="F196" i="24"/>
  <c r="F195" i="24"/>
  <c r="F194" i="24"/>
  <c r="F193" i="24"/>
  <c r="D169" i="24"/>
  <c r="F169" i="24" s="1"/>
  <c r="D176" i="24"/>
  <c r="F176" i="24" s="1"/>
  <c r="D241" i="24" a="1"/>
  <c r="F242" i="24" s="1"/>
  <c r="D204" i="24"/>
  <c r="F204" i="24" s="1"/>
  <c r="D234" i="24" a="1"/>
  <c r="D227" i="24" a="1"/>
  <c r="D190" i="24"/>
  <c r="F190" i="24" s="1"/>
  <c r="D183" i="24"/>
  <c r="F183" i="24" s="1"/>
  <c r="D206" i="24" a="1"/>
  <c r="D213" i="24" a="1"/>
  <c r="D220" i="24" a="1"/>
  <c r="D197" i="24"/>
  <c r="F197" i="24" s="1"/>
  <c r="B119" i="14"/>
  <c r="C109" i="14"/>
  <c r="C108" i="14" s="1"/>
  <c r="F113" i="14"/>
  <c r="F111" i="14"/>
  <c r="H109" i="14"/>
  <c r="D109" i="14"/>
  <c r="D108" i="14" s="1"/>
  <c r="B113" i="14"/>
  <c r="B133" i="14" a="1"/>
  <c r="E133" i="14" s="1"/>
  <c r="H92" i="14"/>
  <c r="B109" i="14"/>
  <c r="G111" i="14"/>
  <c r="D113" i="14"/>
  <c r="C92" i="14"/>
  <c r="D92" i="14"/>
  <c r="E108" i="14"/>
  <c r="F109" i="14"/>
  <c r="H113" i="14"/>
  <c r="G92" i="14"/>
  <c r="G109" i="14"/>
  <c r="G113" i="14"/>
  <c r="E92" i="14"/>
  <c r="B111" i="14"/>
  <c r="E113" i="14"/>
  <c r="D111" i="14"/>
  <c r="B125" i="14" a="1"/>
  <c r="F125" i="14" s="1"/>
  <c r="B127" i="14" a="1"/>
  <c r="E127" i="14" s="1"/>
  <c r="E111" i="14"/>
  <c r="H111" i="14"/>
  <c r="B92" i="14"/>
  <c r="G115" i="14"/>
  <c r="F115" i="14"/>
  <c r="E115" i="14"/>
  <c r="C115" i="14"/>
  <c r="D115" i="14"/>
  <c r="H115" i="14"/>
  <c r="C117" i="14"/>
  <c r="D117" i="14"/>
  <c r="B117" i="14"/>
  <c r="G117" i="14"/>
  <c r="F117" i="14"/>
  <c r="E117" i="14"/>
  <c r="B135" i="14" a="1"/>
  <c r="C135" i="14" s="1"/>
  <c r="B131" i="14" a="1"/>
  <c r="F131" i="14" s="1"/>
  <c r="C138" i="14"/>
  <c r="B129" i="14" a="1"/>
  <c r="E129" i="14" s="1"/>
  <c r="F216" i="24" l="1"/>
  <c r="F215" i="24"/>
  <c r="F214" i="24"/>
  <c r="F219" i="24"/>
  <c r="F218" i="24"/>
  <c r="F217" i="24"/>
  <c r="F208" i="24"/>
  <c r="F207" i="24"/>
  <c r="F212" i="24"/>
  <c r="F211" i="24"/>
  <c r="F210" i="24"/>
  <c r="F209" i="24"/>
  <c r="F232" i="24"/>
  <c r="F231" i="24"/>
  <c r="F229" i="24"/>
  <c r="F228" i="24"/>
  <c r="F230" i="24"/>
  <c r="F233" i="24"/>
  <c r="F236" i="24"/>
  <c r="F238" i="24"/>
  <c r="F239" i="24"/>
  <c r="F240" i="24"/>
  <c r="F235" i="24"/>
  <c r="F237" i="24"/>
  <c r="F224" i="24"/>
  <c r="F223" i="24"/>
  <c r="F221" i="24"/>
  <c r="F226" i="24"/>
  <c r="F225" i="24"/>
  <c r="F222" i="24"/>
  <c r="D227" i="24"/>
  <c r="F227" i="24" s="1"/>
  <c r="D264" i="24" a="1"/>
  <c r="D234" i="24"/>
  <c r="F234" i="24" s="1"/>
  <c r="D257" i="24" a="1"/>
  <c r="D206" i="24"/>
  <c r="F206" i="24" s="1"/>
  <c r="D271" i="24" a="1"/>
  <c r="D250" i="24" a="1"/>
  <c r="D220" i="24"/>
  <c r="F220" i="24" s="1"/>
  <c r="D243" i="24" a="1"/>
  <c r="D278" i="24" a="1"/>
  <c r="F279" i="24" s="1"/>
  <c r="D213" i="24"/>
  <c r="F213" i="24" s="1"/>
  <c r="D241" i="24"/>
  <c r="F241" i="24" s="1"/>
  <c r="H108" i="14"/>
  <c r="H133" i="14"/>
  <c r="F133" i="14"/>
  <c r="B133" i="14"/>
  <c r="G133" i="14"/>
  <c r="C133" i="14"/>
  <c r="D133" i="14"/>
  <c r="E125" i="14"/>
  <c r="H125" i="14"/>
  <c r="F124" i="14"/>
  <c r="C125" i="14"/>
  <c r="F108" i="14"/>
  <c r="G125" i="14"/>
  <c r="B125" i="14"/>
  <c r="D125" i="14"/>
  <c r="B151" i="14" a="1"/>
  <c r="B151" i="14" s="1"/>
  <c r="B108" i="14"/>
  <c r="G108" i="14"/>
  <c r="H127" i="14"/>
  <c r="B127" i="14"/>
  <c r="G127" i="14"/>
  <c r="D127" i="14"/>
  <c r="C127" i="14"/>
  <c r="F127" i="14"/>
  <c r="B145" i="14" a="1"/>
  <c r="D145" i="14" s="1"/>
  <c r="B147" i="14" a="1"/>
  <c r="E147" i="14" s="1"/>
  <c r="B135" i="14"/>
  <c r="E131" i="14"/>
  <c r="G131" i="14"/>
  <c r="H131" i="14"/>
  <c r="G129" i="14"/>
  <c r="D131" i="14"/>
  <c r="H129" i="14"/>
  <c r="B143" i="14" a="1"/>
  <c r="D143" i="14" s="1"/>
  <c r="F129" i="14"/>
  <c r="B149" i="14" a="1"/>
  <c r="E149" i="14" s="1"/>
  <c r="C129" i="14"/>
  <c r="D129" i="14"/>
  <c r="B131" i="14"/>
  <c r="B129" i="14"/>
  <c r="B154" i="14"/>
  <c r="C131" i="14"/>
  <c r="C154" i="14"/>
  <c r="B141" i="14" a="1"/>
  <c r="B141" i="14" s="1"/>
  <c r="F266" i="24" l="1"/>
  <c r="F268" i="24"/>
  <c r="F269" i="24"/>
  <c r="F265" i="24"/>
  <c r="F267" i="24"/>
  <c r="F270" i="24"/>
  <c r="F247" i="24"/>
  <c r="F246" i="24"/>
  <c r="F244" i="24"/>
  <c r="F249" i="24"/>
  <c r="F245" i="24"/>
  <c r="F248" i="24"/>
  <c r="F256" i="24"/>
  <c r="F255" i="24"/>
  <c r="F254" i="24"/>
  <c r="F251" i="24"/>
  <c r="F253" i="24"/>
  <c r="F252" i="24"/>
  <c r="F275" i="24"/>
  <c r="F274" i="24"/>
  <c r="F273" i="24"/>
  <c r="F272" i="24"/>
  <c r="F277" i="24"/>
  <c r="F276" i="24"/>
  <c r="F260" i="24"/>
  <c r="F258" i="24"/>
  <c r="F259" i="24"/>
  <c r="F263" i="24"/>
  <c r="F262" i="24"/>
  <c r="F261" i="24"/>
  <c r="D250" i="24"/>
  <c r="F250" i="24" s="1"/>
  <c r="D301" i="24" a="1"/>
  <c r="D271" i="24"/>
  <c r="F271" i="24" s="1"/>
  <c r="D294" i="24" a="1"/>
  <c r="D280" i="24" a="1"/>
  <c r="D257" i="24"/>
  <c r="F257" i="24" s="1"/>
  <c r="D243" i="24"/>
  <c r="F243" i="24" s="1"/>
  <c r="D287" i="24" a="1"/>
  <c r="D308" i="24" a="1"/>
  <c r="D315" i="24" a="1"/>
  <c r="F316" i="24" s="1"/>
  <c r="D278" i="24"/>
  <c r="F278" i="24" s="1"/>
  <c r="D264" i="24"/>
  <c r="F264" i="24" s="1"/>
  <c r="E124" i="14"/>
  <c r="C151" i="14"/>
  <c r="B124" i="14"/>
  <c r="H124" i="14"/>
  <c r="D124" i="14"/>
  <c r="C124" i="14"/>
  <c r="B165" i="14" a="1"/>
  <c r="D165" i="14" s="1"/>
  <c r="G124" i="14"/>
  <c r="H145" i="14"/>
  <c r="G145" i="14"/>
  <c r="C145" i="14"/>
  <c r="B140" i="14"/>
  <c r="F145" i="14"/>
  <c r="E145" i="14"/>
  <c r="D147" i="14"/>
  <c r="B145" i="14"/>
  <c r="G147" i="14"/>
  <c r="F147" i="14"/>
  <c r="H147" i="14"/>
  <c r="C147" i="14"/>
  <c r="B147" i="14"/>
  <c r="B163" i="14" a="1"/>
  <c r="H163" i="14" s="1"/>
  <c r="B170" i="14"/>
  <c r="B161" i="14" a="1"/>
  <c r="B161" i="14" s="1"/>
  <c r="C170" i="14"/>
  <c r="D149" i="14"/>
  <c r="H143" i="14"/>
  <c r="B157" i="14" a="1"/>
  <c r="B157" i="14" s="1"/>
  <c r="D141" i="14"/>
  <c r="H149" i="14"/>
  <c r="F141" i="14"/>
  <c r="C143" i="14"/>
  <c r="C149" i="14"/>
  <c r="B167" i="14" a="1"/>
  <c r="B167" i="14" s="1"/>
  <c r="G149" i="14"/>
  <c r="F143" i="14"/>
  <c r="B149" i="14"/>
  <c r="E143" i="14"/>
  <c r="B159" i="14" a="1"/>
  <c r="H159" i="14" s="1"/>
  <c r="F149" i="14"/>
  <c r="G143" i="14"/>
  <c r="C141" i="14"/>
  <c r="B143" i="14"/>
  <c r="H141" i="14"/>
  <c r="G141" i="14"/>
  <c r="E141" i="14"/>
  <c r="F305" i="24" l="1"/>
  <c r="F304" i="24"/>
  <c r="F303" i="24"/>
  <c r="F302" i="24"/>
  <c r="F307" i="24"/>
  <c r="F306" i="24"/>
  <c r="F313" i="24"/>
  <c r="F312" i="24"/>
  <c r="F311" i="24"/>
  <c r="F310" i="24"/>
  <c r="F309" i="24"/>
  <c r="F314" i="24"/>
  <c r="F290" i="24"/>
  <c r="F293" i="24"/>
  <c r="F288" i="24"/>
  <c r="F289" i="24"/>
  <c r="F292" i="24"/>
  <c r="F291" i="24"/>
  <c r="F283" i="24"/>
  <c r="F282" i="24"/>
  <c r="F281" i="24"/>
  <c r="F286" i="24"/>
  <c r="F285" i="24"/>
  <c r="F284" i="24"/>
  <c r="F297" i="24"/>
  <c r="F296" i="24"/>
  <c r="F295" i="24"/>
  <c r="F300" i="24"/>
  <c r="F299" i="24"/>
  <c r="F298" i="24"/>
  <c r="D352" i="24" a="1"/>
  <c r="D317" i="24" a="1"/>
  <c r="D315" i="24"/>
  <c r="F315" i="24" s="1"/>
  <c r="D287" i="24"/>
  <c r="F287" i="24" s="1"/>
  <c r="D331" i="24" a="1"/>
  <c r="D280" i="24"/>
  <c r="F280" i="24" s="1"/>
  <c r="D308" i="24"/>
  <c r="F308" i="24" s="1"/>
  <c r="D324" i="24" a="1"/>
  <c r="D294" i="24"/>
  <c r="F294" i="24" s="1"/>
  <c r="D345" i="24" a="1"/>
  <c r="D338" i="24" a="1"/>
  <c r="D301" i="24"/>
  <c r="F301" i="24" s="1"/>
  <c r="F165" i="14"/>
  <c r="B165" i="14"/>
  <c r="G165" i="14"/>
  <c r="C165" i="14"/>
  <c r="E165" i="14"/>
  <c r="H165" i="14"/>
  <c r="B156" i="14"/>
  <c r="E140" i="14"/>
  <c r="H140" i="14"/>
  <c r="F140" i="14"/>
  <c r="D140" i="14"/>
  <c r="C140" i="14"/>
  <c r="G140" i="14"/>
  <c r="B163" i="14"/>
  <c r="B181" i="14" a="1"/>
  <c r="B181" i="14" s="1"/>
  <c r="F163" i="14"/>
  <c r="C163" i="14"/>
  <c r="E163" i="14"/>
  <c r="D163" i="14"/>
  <c r="D161" i="14"/>
  <c r="G161" i="14"/>
  <c r="E161" i="14"/>
  <c r="G163" i="14"/>
  <c r="F161" i="14"/>
  <c r="H161" i="14"/>
  <c r="C161" i="14"/>
  <c r="G157" i="14"/>
  <c r="D157" i="14"/>
  <c r="E157" i="14"/>
  <c r="C157" i="14"/>
  <c r="H157" i="14"/>
  <c r="F157" i="14"/>
  <c r="B173" i="14" a="1"/>
  <c r="E173" i="14" s="1"/>
  <c r="B179" i="14" a="1"/>
  <c r="B179" i="14" s="1"/>
  <c r="C167" i="14"/>
  <c r="B186" i="14"/>
  <c r="D159" i="14"/>
  <c r="F159" i="14"/>
  <c r="B175" i="14" a="1"/>
  <c r="D175" i="14" s="1"/>
  <c r="B159" i="14"/>
  <c r="B183" i="14" a="1"/>
  <c r="C183" i="14" s="1"/>
  <c r="B177" i="14" a="1"/>
  <c r="H177" i="14" s="1"/>
  <c r="C159" i="14"/>
  <c r="E159" i="14"/>
  <c r="C186" i="14"/>
  <c r="G159" i="14"/>
  <c r="F333" i="24" l="1"/>
  <c r="F337" i="24"/>
  <c r="F336" i="24"/>
  <c r="F332" i="24"/>
  <c r="F334" i="24"/>
  <c r="F335" i="24"/>
  <c r="F351" i="24"/>
  <c r="F350" i="24"/>
  <c r="F349" i="24"/>
  <c r="F348" i="24"/>
  <c r="F347" i="24"/>
  <c r="F346" i="24"/>
  <c r="D317" i="24"/>
  <c r="F317" i="24" s="1"/>
  <c r="F321" i="24"/>
  <c r="F320" i="24"/>
  <c r="F319" i="24"/>
  <c r="F318" i="24"/>
  <c r="F323" i="24"/>
  <c r="F322" i="24"/>
  <c r="D352" i="24"/>
  <c r="F352" i="24" s="1"/>
  <c r="F353" i="24"/>
  <c r="F329" i="24"/>
  <c r="F328" i="24"/>
  <c r="F327" i="24"/>
  <c r="F326" i="24"/>
  <c r="F325" i="24"/>
  <c r="F330" i="24"/>
  <c r="F344" i="24"/>
  <c r="F343" i="24"/>
  <c r="F342" i="24"/>
  <c r="F341" i="24"/>
  <c r="F340" i="24"/>
  <c r="F339" i="24"/>
  <c r="D354" i="24" a="1"/>
  <c r="D338" i="24"/>
  <c r="F338" i="24" s="1"/>
  <c r="D368" i="24" a="1"/>
  <c r="D324" i="24"/>
  <c r="F324" i="24" s="1"/>
  <c r="D345" i="24"/>
  <c r="F345" i="24" s="1"/>
  <c r="D331" i="24"/>
  <c r="F331" i="24" s="1"/>
  <c r="D389" i="24" a="1"/>
  <c r="F390" i="24" s="1"/>
  <c r="D382" i="24" a="1"/>
  <c r="D375" i="24" a="1"/>
  <c r="D361" i="24" a="1"/>
  <c r="F156" i="14"/>
  <c r="H156" i="14"/>
  <c r="E156" i="14"/>
  <c r="D156" i="14"/>
  <c r="G156" i="14"/>
  <c r="C156" i="14"/>
  <c r="E172" i="14"/>
  <c r="G181" i="14"/>
  <c r="B189" i="14" a="1"/>
  <c r="B189" i="14" s="1"/>
  <c r="C181" i="14"/>
  <c r="B173" i="14"/>
  <c r="H181" i="14"/>
  <c r="E181" i="14"/>
  <c r="D181" i="14"/>
  <c r="F181" i="14"/>
  <c r="B195" i="14" a="1"/>
  <c r="F195" i="14" s="1"/>
  <c r="B199" i="14" a="1"/>
  <c r="B199" i="14" s="1"/>
  <c r="F173" i="14"/>
  <c r="D173" i="14"/>
  <c r="H173" i="14"/>
  <c r="B175" i="14"/>
  <c r="G173" i="14"/>
  <c r="F179" i="14"/>
  <c r="C179" i="14"/>
  <c r="G177" i="14"/>
  <c r="D179" i="14"/>
  <c r="B197" i="14" a="1"/>
  <c r="E197" i="14" s="1"/>
  <c r="E175" i="14"/>
  <c r="E179" i="14"/>
  <c r="G175" i="14"/>
  <c r="B177" i="14"/>
  <c r="H179" i="14"/>
  <c r="B191" i="14" a="1"/>
  <c r="C191" i="14" s="1"/>
  <c r="F175" i="14"/>
  <c r="D177" i="14"/>
  <c r="C173" i="14"/>
  <c r="B193" i="14" a="1"/>
  <c r="C193" i="14" s="1"/>
  <c r="E177" i="14"/>
  <c r="G179" i="14"/>
  <c r="H175" i="14"/>
  <c r="C177" i="14"/>
  <c r="F177" i="14"/>
  <c r="B183" i="14"/>
  <c r="C175" i="14"/>
  <c r="F371" i="24" l="1"/>
  <c r="F373" i="24"/>
  <c r="F374" i="24"/>
  <c r="F369" i="24"/>
  <c r="F370" i="24"/>
  <c r="F372" i="24"/>
  <c r="F381" i="24"/>
  <c r="F380" i="24"/>
  <c r="F379" i="24"/>
  <c r="F378" i="24"/>
  <c r="F377" i="24"/>
  <c r="F376" i="24"/>
  <c r="F360" i="24"/>
  <c r="F355" i="24"/>
  <c r="F357" i="24"/>
  <c r="F359" i="24"/>
  <c r="F356" i="24"/>
  <c r="F358" i="24"/>
  <c r="F366" i="24"/>
  <c r="F365" i="24"/>
  <c r="F364" i="24"/>
  <c r="F363" i="24"/>
  <c r="F362" i="24"/>
  <c r="F367" i="24"/>
  <c r="F388" i="24"/>
  <c r="F387" i="24"/>
  <c r="F386" i="24"/>
  <c r="F385" i="24"/>
  <c r="F384" i="24"/>
  <c r="F383" i="24"/>
  <c r="D354" i="24"/>
  <c r="F354" i="24" s="1"/>
  <c r="D382" i="24"/>
  <c r="F382" i="24" s="1"/>
  <c r="D398" i="24" a="1"/>
  <c r="D361" i="24"/>
  <c r="F361" i="24" s="1"/>
  <c r="D389" i="24"/>
  <c r="F389" i="24" s="1"/>
  <c r="D412" i="24" a="1"/>
  <c r="D375" i="24"/>
  <c r="F375" i="24" s="1"/>
  <c r="D405" i="24" a="1"/>
  <c r="D426" i="24" a="1"/>
  <c r="F427" i="24" s="1"/>
  <c r="D391" i="24" a="1"/>
  <c r="D368" i="24"/>
  <c r="F368" i="24" s="1"/>
  <c r="D419" i="24" a="1"/>
  <c r="C189" i="14"/>
  <c r="C188" i="14" s="1"/>
  <c r="F189" i="14"/>
  <c r="F188" i="14" s="1"/>
  <c r="D189" i="14"/>
  <c r="D188" i="14" s="1"/>
  <c r="C172" i="14"/>
  <c r="H172" i="14"/>
  <c r="B172" i="14"/>
  <c r="F172" i="14"/>
  <c r="G189" i="14"/>
  <c r="E189" i="14"/>
  <c r="H189" i="14"/>
  <c r="D172" i="14"/>
  <c r="G172" i="14"/>
  <c r="G195" i="14"/>
  <c r="E195" i="14"/>
  <c r="B188" i="14"/>
  <c r="C195" i="14"/>
  <c r="D195" i="14"/>
  <c r="E193" i="14"/>
  <c r="B197" i="14"/>
  <c r="B193" i="14"/>
  <c r="H195" i="14"/>
  <c r="C199" i="14"/>
  <c r="B195" i="14"/>
  <c r="E191" i="14"/>
  <c r="H193" i="14"/>
  <c r="D197" i="14"/>
  <c r="F191" i="14"/>
  <c r="H191" i="14"/>
  <c r="B191" i="14"/>
  <c r="H197" i="14"/>
  <c r="D193" i="14"/>
  <c r="D191" i="14"/>
  <c r="C197" i="14"/>
  <c r="G193" i="14"/>
  <c r="F197" i="14"/>
  <c r="F193" i="14"/>
  <c r="G191" i="14"/>
  <c r="G197" i="14"/>
  <c r="F397" i="24" l="1"/>
  <c r="F396" i="24"/>
  <c r="F395" i="24"/>
  <c r="F394" i="24"/>
  <c r="F393" i="24"/>
  <c r="F392" i="24"/>
  <c r="F411" i="24"/>
  <c r="F410" i="24"/>
  <c r="F409" i="24"/>
  <c r="F408" i="24"/>
  <c r="F407" i="24"/>
  <c r="F406" i="24"/>
  <c r="F418" i="24"/>
  <c r="F417" i="24"/>
  <c r="F416" i="24"/>
  <c r="F415" i="24"/>
  <c r="F414" i="24"/>
  <c r="F413" i="24"/>
  <c r="F423" i="24"/>
  <c r="F424" i="24"/>
  <c r="F425" i="24"/>
  <c r="F421" i="24"/>
  <c r="F420" i="24"/>
  <c r="F422" i="24"/>
  <c r="F400" i="24"/>
  <c r="F404" i="24"/>
  <c r="F399" i="24"/>
  <c r="F403" i="24"/>
  <c r="F401" i="24"/>
  <c r="F402" i="24"/>
  <c r="D435" i="24" a="1"/>
  <c r="D412" i="24"/>
  <c r="F412" i="24" s="1"/>
  <c r="D442" i="24" a="1"/>
  <c r="D456" i="24" a="1"/>
  <c r="D426" i="24"/>
  <c r="F426" i="24" s="1"/>
  <c r="D463" i="24" a="1"/>
  <c r="F464" i="24" s="1"/>
  <c r="D398" i="24"/>
  <c r="F398" i="24" s="1"/>
  <c r="D419" i="24"/>
  <c r="F419" i="24" s="1"/>
  <c r="D405" i="24"/>
  <c r="F405" i="24" s="1"/>
  <c r="D391" i="24"/>
  <c r="F391" i="24" s="1"/>
  <c r="D449" i="24" a="1"/>
  <c r="D428" i="24" a="1"/>
  <c r="H188" i="14"/>
  <c r="G188" i="14"/>
  <c r="E188" i="14"/>
  <c r="F440" i="24" l="1"/>
  <c r="F439" i="24"/>
  <c r="F438" i="24"/>
  <c r="F437" i="24"/>
  <c r="F436" i="24"/>
  <c r="F441" i="24"/>
  <c r="F432" i="24"/>
  <c r="F431" i="24"/>
  <c r="F430" i="24"/>
  <c r="F429" i="24"/>
  <c r="F434" i="24"/>
  <c r="F433" i="24"/>
  <c r="F462" i="24"/>
  <c r="F461" i="24"/>
  <c r="F460" i="24"/>
  <c r="F459" i="24"/>
  <c r="F458" i="24"/>
  <c r="F457" i="24"/>
  <c r="F455" i="24"/>
  <c r="F454" i="24"/>
  <c r="F453" i="24"/>
  <c r="F452" i="24"/>
  <c r="F451" i="24"/>
  <c r="F450" i="24"/>
  <c r="F448" i="24"/>
  <c r="F447" i="24"/>
  <c r="F446" i="24"/>
  <c r="F445" i="24"/>
  <c r="F444" i="24"/>
  <c r="F443" i="24"/>
  <c r="D449" i="24"/>
  <c r="F449" i="24" s="1"/>
  <c r="D463" i="24"/>
  <c r="F463" i="24" s="1"/>
  <c r="D428" i="24"/>
  <c r="F428" i="24" s="1"/>
  <c r="D456" i="24"/>
  <c r="F456" i="24" s="1"/>
  <c r="D435" i="24"/>
  <c r="F435" i="24" s="1"/>
  <c r="D442" i="24"/>
  <c r="F442" i="24" s="1"/>
  <c r="Z3" i="24" l="1"/>
  <c r="J21" i="24" a="1"/>
  <c r="C27" i="18" l="1"/>
  <c r="P21" i="24"/>
  <c r="S224" i="24"/>
  <c r="S226" i="24"/>
  <c r="S225" i="24"/>
  <c r="S223" i="24"/>
  <c r="S218" i="24"/>
  <c r="S219" i="24"/>
  <c r="S220" i="24"/>
  <c r="S221" i="24"/>
  <c r="S222" i="24"/>
  <c r="S216" i="24"/>
  <c r="S217" i="24"/>
  <c r="S215" i="24"/>
  <c r="S214" i="24"/>
  <c r="S32" i="24"/>
  <c r="S40" i="24"/>
  <c r="S48" i="24"/>
  <c r="S56" i="24"/>
  <c r="S64" i="24"/>
  <c r="S72" i="24"/>
  <c r="S80" i="24"/>
  <c r="S88" i="24"/>
  <c r="S96" i="24"/>
  <c r="S104" i="24"/>
  <c r="S112" i="24"/>
  <c r="S120" i="24"/>
  <c r="S128" i="24"/>
  <c r="S136" i="24"/>
  <c r="S144" i="24"/>
  <c r="S152" i="24"/>
  <c r="S160" i="24"/>
  <c r="S168" i="24"/>
  <c r="S176" i="24"/>
  <c r="S184" i="24"/>
  <c r="S192" i="24"/>
  <c r="S200" i="24"/>
  <c r="S208" i="24"/>
  <c r="S27" i="24"/>
  <c r="S33" i="24"/>
  <c r="S41" i="24"/>
  <c r="S49" i="24"/>
  <c r="S57" i="24"/>
  <c r="S65" i="24"/>
  <c r="S73" i="24"/>
  <c r="S81" i="24"/>
  <c r="S89" i="24"/>
  <c r="S97" i="24"/>
  <c r="S105" i="24"/>
  <c r="S113" i="24"/>
  <c r="S121" i="24"/>
  <c r="S129" i="24"/>
  <c r="S137" i="24"/>
  <c r="S145" i="24"/>
  <c r="S153" i="24"/>
  <c r="S161" i="24"/>
  <c r="S169" i="24"/>
  <c r="S177" i="24"/>
  <c r="S185" i="24"/>
  <c r="S193" i="24"/>
  <c r="S201" i="24"/>
  <c r="S209" i="24"/>
  <c r="S28" i="24"/>
  <c r="S34" i="24"/>
  <c r="S42" i="24"/>
  <c r="S50" i="24"/>
  <c r="S58" i="24"/>
  <c r="S66" i="24"/>
  <c r="S74" i="24"/>
  <c r="S82" i="24"/>
  <c r="S90" i="24"/>
  <c r="S98" i="24"/>
  <c r="S106" i="24"/>
  <c r="S114" i="24"/>
  <c r="S122" i="24"/>
  <c r="S130" i="24"/>
  <c r="S138" i="24"/>
  <c r="S146" i="24"/>
  <c r="S154" i="24"/>
  <c r="S162" i="24"/>
  <c r="S170" i="24"/>
  <c r="S178" i="24"/>
  <c r="S186" i="24"/>
  <c r="S194" i="24"/>
  <c r="S202" i="24"/>
  <c r="S210" i="24"/>
  <c r="S35" i="24"/>
  <c r="S43" i="24"/>
  <c r="S51" i="24"/>
  <c r="S59" i="24"/>
  <c r="S67" i="24"/>
  <c r="S75" i="24"/>
  <c r="S83" i="24"/>
  <c r="S91" i="24"/>
  <c r="S99" i="24"/>
  <c r="S107" i="24"/>
  <c r="S115" i="24"/>
  <c r="S123" i="24"/>
  <c r="S131" i="24"/>
  <c r="S139" i="24"/>
  <c r="S147" i="24"/>
  <c r="S155" i="24"/>
  <c r="S163" i="24"/>
  <c r="S171" i="24"/>
  <c r="S179" i="24"/>
  <c r="S187" i="24"/>
  <c r="S195" i="24"/>
  <c r="S203" i="24"/>
  <c r="S211" i="24"/>
  <c r="S22" i="24"/>
  <c r="S36" i="24"/>
  <c r="S44" i="24"/>
  <c r="S52" i="24"/>
  <c r="S60" i="24"/>
  <c r="S68" i="24"/>
  <c r="S76" i="24"/>
  <c r="S84" i="24"/>
  <c r="S92" i="24"/>
  <c r="S100" i="24"/>
  <c r="S108" i="24"/>
  <c r="S116" i="24"/>
  <c r="S124" i="24"/>
  <c r="S132" i="24"/>
  <c r="S140" i="24"/>
  <c r="S148" i="24"/>
  <c r="S156" i="24"/>
  <c r="S164" i="24"/>
  <c r="S172" i="24"/>
  <c r="S180" i="24"/>
  <c r="S188" i="24"/>
  <c r="S196" i="24"/>
  <c r="S204" i="24"/>
  <c r="S212" i="24"/>
  <c r="S23" i="24"/>
  <c r="S29" i="24"/>
  <c r="S37" i="24"/>
  <c r="S45" i="24"/>
  <c r="S53" i="24"/>
  <c r="S61" i="24"/>
  <c r="S69" i="24"/>
  <c r="S77" i="24"/>
  <c r="S85" i="24"/>
  <c r="S93" i="24"/>
  <c r="S101" i="24"/>
  <c r="S109" i="24"/>
  <c r="S117" i="24"/>
  <c r="S125" i="24"/>
  <c r="S133" i="24"/>
  <c r="S141" i="24"/>
  <c r="S149" i="24"/>
  <c r="S157" i="24"/>
  <c r="S165" i="24"/>
  <c r="S173" i="24"/>
  <c r="S181" i="24"/>
  <c r="S189" i="24"/>
  <c r="S197" i="24"/>
  <c r="S205" i="24"/>
  <c r="S213" i="24"/>
  <c r="S24" i="24"/>
  <c r="S30" i="24"/>
  <c r="S38" i="24"/>
  <c r="S46" i="24"/>
  <c r="S54" i="24"/>
  <c r="S62" i="24"/>
  <c r="S70" i="24"/>
  <c r="S78" i="24"/>
  <c r="S86" i="24"/>
  <c r="S94" i="24"/>
  <c r="S102" i="24"/>
  <c r="S110" i="24"/>
  <c r="S118" i="24"/>
  <c r="S126" i="24"/>
  <c r="S134" i="24"/>
  <c r="S142" i="24"/>
  <c r="S150" i="24"/>
  <c r="S158" i="24"/>
  <c r="S166" i="24"/>
  <c r="S174" i="24"/>
  <c r="S182" i="24"/>
  <c r="S190" i="24"/>
  <c r="S198" i="24"/>
  <c r="S206" i="24"/>
  <c r="S25" i="24"/>
  <c r="S31" i="24"/>
  <c r="S39" i="24"/>
  <c r="S47" i="24"/>
  <c r="S55" i="24"/>
  <c r="S63" i="24"/>
  <c r="S71" i="24"/>
  <c r="S79" i="24"/>
  <c r="S87" i="24"/>
  <c r="S95" i="24"/>
  <c r="S103" i="24"/>
  <c r="S111" i="24"/>
  <c r="S119" i="24"/>
  <c r="S127" i="24"/>
  <c r="S135" i="24"/>
  <c r="S143" i="24"/>
  <c r="S151" i="24"/>
  <c r="S159" i="24"/>
  <c r="S167" i="24"/>
  <c r="S175" i="24"/>
  <c r="S183" i="24"/>
  <c r="S191" i="24"/>
  <c r="S199" i="24"/>
  <c r="S207" i="24"/>
  <c r="S26" i="24"/>
  <c r="S21" i="24"/>
  <c r="Q224" i="24"/>
  <c r="Q216" i="24"/>
  <c r="Q208" i="24"/>
  <c r="Q200" i="24"/>
  <c r="Q192" i="24"/>
  <c r="Q184" i="24"/>
  <c r="Q176" i="24"/>
  <c r="Q168" i="24"/>
  <c r="Q160" i="24"/>
  <c r="Q152" i="24"/>
  <c r="Q144" i="24"/>
  <c r="Q136" i="24"/>
  <c r="Q128" i="24"/>
  <c r="Q120" i="24"/>
  <c r="Q112" i="24"/>
  <c r="Q104" i="24"/>
  <c r="Q96" i="24"/>
  <c r="Q88" i="24"/>
  <c r="Q80" i="24"/>
  <c r="Q72" i="24"/>
  <c r="Q64" i="24"/>
  <c r="Q56" i="24"/>
  <c r="Q195" i="24"/>
  <c r="Q187" i="24"/>
  <c r="Q155" i="24"/>
  <c r="Q115" i="24"/>
  <c r="Q67" i="24"/>
  <c r="Q28" i="24"/>
  <c r="Q202" i="24"/>
  <c r="Q178" i="24"/>
  <c r="Q146" i="24"/>
  <c r="Q122" i="24"/>
  <c r="Q90" i="24"/>
  <c r="Q58" i="24"/>
  <c r="Q223" i="24"/>
  <c r="Q215" i="24"/>
  <c r="Q207" i="24"/>
  <c r="Q199" i="24"/>
  <c r="Q191" i="24"/>
  <c r="Q183" i="24"/>
  <c r="Q175" i="24"/>
  <c r="Q167" i="24"/>
  <c r="Q159" i="24"/>
  <c r="Q151" i="24"/>
  <c r="Q143" i="24"/>
  <c r="Q135" i="24"/>
  <c r="Q127" i="24"/>
  <c r="Q119" i="24"/>
  <c r="Q111" i="24"/>
  <c r="Q103" i="24"/>
  <c r="Q95" i="24"/>
  <c r="Q87" i="24"/>
  <c r="Q79" i="24"/>
  <c r="Q71" i="24"/>
  <c r="Q63" i="24"/>
  <c r="Q55" i="24"/>
  <c r="Q50" i="24"/>
  <c r="Q46" i="24"/>
  <c r="Q42" i="24"/>
  <c r="Q38" i="24"/>
  <c r="Q34" i="24"/>
  <c r="Q30" i="24"/>
  <c r="Q26" i="24"/>
  <c r="Q22" i="24"/>
  <c r="Q194" i="24"/>
  <c r="Q222" i="24"/>
  <c r="Q214" i="24"/>
  <c r="Q206" i="24"/>
  <c r="Q198" i="24"/>
  <c r="Q190" i="24"/>
  <c r="Q182" i="24"/>
  <c r="Q174" i="24"/>
  <c r="Q166" i="24"/>
  <c r="Q158" i="24"/>
  <c r="Q150" i="24"/>
  <c r="Q142" i="24"/>
  <c r="Q134" i="24"/>
  <c r="Q126" i="24"/>
  <c r="Q118" i="24"/>
  <c r="Q110" i="24"/>
  <c r="Q102" i="24"/>
  <c r="Q94" i="24"/>
  <c r="Q86" i="24"/>
  <c r="Q78" i="24"/>
  <c r="Q70" i="24"/>
  <c r="Q62" i="24"/>
  <c r="Q54" i="24"/>
  <c r="Q21" i="24"/>
  <c r="Q219" i="24"/>
  <c r="Q147" i="24"/>
  <c r="Q99" i="24"/>
  <c r="Q75" i="24"/>
  <c r="Q52" i="24"/>
  <c r="Q36" i="24"/>
  <c r="Q24" i="24"/>
  <c r="Q226" i="24"/>
  <c r="Q162" i="24"/>
  <c r="Q138" i="24"/>
  <c r="Q106" i="24"/>
  <c r="Q74" i="24"/>
  <c r="Q221" i="24"/>
  <c r="Q213" i="24"/>
  <c r="Q205" i="24"/>
  <c r="Q197" i="24"/>
  <c r="Q189" i="24"/>
  <c r="Q181" i="24"/>
  <c r="Q173" i="24"/>
  <c r="Q165" i="24"/>
  <c r="Q157" i="24"/>
  <c r="Q149" i="24"/>
  <c r="Q141" i="24"/>
  <c r="Q133" i="24"/>
  <c r="Q125" i="24"/>
  <c r="Q117" i="24"/>
  <c r="Q109" i="24"/>
  <c r="Q101" i="24"/>
  <c r="Q93" i="24"/>
  <c r="Q85" i="24"/>
  <c r="Q77" i="24"/>
  <c r="Q69" i="24"/>
  <c r="Q61" i="24"/>
  <c r="Q53" i="24"/>
  <c r="Q49" i="24"/>
  <c r="Q45" i="24"/>
  <c r="Q41" i="24"/>
  <c r="Q37" i="24"/>
  <c r="Q33" i="24"/>
  <c r="Q29" i="24"/>
  <c r="Q25" i="24"/>
  <c r="Q211" i="24"/>
  <c r="Q179" i="24"/>
  <c r="Q139" i="24"/>
  <c r="Q107" i="24"/>
  <c r="Q59" i="24"/>
  <c r="Q32" i="24"/>
  <c r="Q210" i="24"/>
  <c r="Q186" i="24"/>
  <c r="Q154" i="24"/>
  <c r="Q130" i="24"/>
  <c r="Q98" i="24"/>
  <c r="Q66" i="24"/>
  <c r="Q220" i="24"/>
  <c r="Q212" i="24"/>
  <c r="Q204" i="24"/>
  <c r="Q196" i="24"/>
  <c r="Q188" i="24"/>
  <c r="Q180" i="24"/>
  <c r="Q172" i="24"/>
  <c r="Q164" i="24"/>
  <c r="Q156" i="24"/>
  <c r="Q148" i="24"/>
  <c r="Q140" i="24"/>
  <c r="Q132" i="24"/>
  <c r="Q124" i="24"/>
  <c r="Q116" i="24"/>
  <c r="Q108" i="24"/>
  <c r="Q100" i="24"/>
  <c r="Q92" i="24"/>
  <c r="Q84" i="24"/>
  <c r="Q76" i="24"/>
  <c r="Q68" i="24"/>
  <c r="Q60" i="24"/>
  <c r="Q171" i="24"/>
  <c r="Q131" i="24"/>
  <c r="Q91" i="24"/>
  <c r="Q44" i="24"/>
  <c r="Q225" i="24"/>
  <c r="Q217" i="24"/>
  <c r="Q209" i="24"/>
  <c r="Q201" i="24"/>
  <c r="Q193" i="24"/>
  <c r="Q185" i="24"/>
  <c r="Q177" i="24"/>
  <c r="Q169" i="24"/>
  <c r="Q161" i="24"/>
  <c r="Q153" i="24"/>
  <c r="Q145" i="24"/>
  <c r="Q137" i="24"/>
  <c r="Q129" i="24"/>
  <c r="Q121" i="24"/>
  <c r="Q113" i="24"/>
  <c r="Q105" i="24"/>
  <c r="Q97" i="24"/>
  <c r="Q89" i="24"/>
  <c r="Q81" i="24"/>
  <c r="Q73" i="24"/>
  <c r="Q65" i="24"/>
  <c r="Q57" i="24"/>
  <c r="Q51" i="24"/>
  <c r="Q47" i="24"/>
  <c r="Q43" i="24"/>
  <c r="Q39" i="24"/>
  <c r="Q35" i="24"/>
  <c r="Q31" i="24"/>
  <c r="Q27" i="24"/>
  <c r="Q23" i="24"/>
  <c r="Q203" i="24"/>
  <c r="Q163" i="24"/>
  <c r="Q123" i="24"/>
  <c r="Q83" i="24"/>
  <c r="Q48" i="24"/>
  <c r="Q40" i="24"/>
  <c r="Q218" i="24"/>
  <c r="Q170" i="24"/>
  <c r="Q114" i="24"/>
  <c r="Q82" i="24"/>
  <c r="N221" i="24"/>
  <c r="O221" i="24" s="1"/>
  <c r="N214" i="24"/>
  <c r="O214" i="24" s="1"/>
  <c r="N222" i="24"/>
  <c r="O222" i="24" s="1"/>
  <c r="N215" i="24"/>
  <c r="O215" i="24" s="1"/>
  <c r="N223" i="24"/>
  <c r="O223" i="24" s="1"/>
  <c r="N216" i="24"/>
  <c r="O216" i="24" s="1"/>
  <c r="N224" i="24"/>
  <c r="O224" i="24" s="1"/>
  <c r="N217" i="24"/>
  <c r="O217" i="24" s="1"/>
  <c r="N225" i="24"/>
  <c r="O225" i="24" s="1"/>
  <c r="N218" i="24"/>
  <c r="O218" i="24" s="1"/>
  <c r="N226" i="24"/>
  <c r="O226" i="24" s="1"/>
  <c r="N219" i="24"/>
  <c r="O219" i="24" s="1"/>
  <c r="N220" i="24"/>
  <c r="O220" i="24" s="1"/>
  <c r="N29" i="24"/>
  <c r="O29" i="24" s="1"/>
  <c r="N37" i="24"/>
  <c r="O37" i="24" s="1"/>
  <c r="N45" i="24"/>
  <c r="O45" i="24" s="1"/>
  <c r="N53" i="24"/>
  <c r="O53" i="24" s="1"/>
  <c r="N61" i="24"/>
  <c r="O61" i="24" s="1"/>
  <c r="N69" i="24"/>
  <c r="O69" i="24" s="1"/>
  <c r="N77" i="24"/>
  <c r="O77" i="24" s="1"/>
  <c r="N85" i="24"/>
  <c r="O85" i="24" s="1"/>
  <c r="N93" i="24"/>
  <c r="O93" i="24" s="1"/>
  <c r="N101" i="24"/>
  <c r="O101" i="24" s="1"/>
  <c r="N109" i="24"/>
  <c r="O109" i="24" s="1"/>
  <c r="N117" i="24"/>
  <c r="O117" i="24" s="1"/>
  <c r="N125" i="24"/>
  <c r="O125" i="24" s="1"/>
  <c r="N133" i="24"/>
  <c r="O133" i="24" s="1"/>
  <c r="N141" i="24"/>
  <c r="O141" i="24" s="1"/>
  <c r="N149" i="24"/>
  <c r="O149" i="24" s="1"/>
  <c r="N157" i="24"/>
  <c r="O157" i="24" s="1"/>
  <c r="N165" i="24"/>
  <c r="O165" i="24" s="1"/>
  <c r="N173" i="24"/>
  <c r="O173" i="24" s="1"/>
  <c r="N181" i="24"/>
  <c r="O181" i="24" s="1"/>
  <c r="N189" i="24"/>
  <c r="O189" i="24" s="1"/>
  <c r="N197" i="24"/>
  <c r="O197" i="24" s="1"/>
  <c r="N205" i="24"/>
  <c r="O205" i="24" s="1"/>
  <c r="N213" i="24"/>
  <c r="O213" i="24" s="1"/>
  <c r="N22" i="24"/>
  <c r="O22" i="24" s="1"/>
  <c r="N30" i="24"/>
  <c r="O30" i="24" s="1"/>
  <c r="N38" i="24"/>
  <c r="O38" i="24" s="1"/>
  <c r="N46" i="24"/>
  <c r="O46" i="24" s="1"/>
  <c r="N54" i="24"/>
  <c r="O54" i="24" s="1"/>
  <c r="N62" i="24"/>
  <c r="O62" i="24" s="1"/>
  <c r="N70" i="24"/>
  <c r="O70" i="24" s="1"/>
  <c r="N78" i="24"/>
  <c r="O78" i="24" s="1"/>
  <c r="N86" i="24"/>
  <c r="O86" i="24" s="1"/>
  <c r="N94" i="24"/>
  <c r="O94" i="24" s="1"/>
  <c r="N102" i="24"/>
  <c r="O102" i="24" s="1"/>
  <c r="N110" i="24"/>
  <c r="O110" i="24" s="1"/>
  <c r="N118" i="24"/>
  <c r="O118" i="24" s="1"/>
  <c r="N126" i="24"/>
  <c r="O126" i="24" s="1"/>
  <c r="N134" i="24"/>
  <c r="O134" i="24" s="1"/>
  <c r="N142" i="24"/>
  <c r="O142" i="24" s="1"/>
  <c r="N150" i="24"/>
  <c r="O150" i="24" s="1"/>
  <c r="N158" i="24"/>
  <c r="O158" i="24" s="1"/>
  <c r="N166" i="24"/>
  <c r="O166" i="24" s="1"/>
  <c r="N174" i="24"/>
  <c r="O174" i="24" s="1"/>
  <c r="N182" i="24"/>
  <c r="O182" i="24" s="1"/>
  <c r="N190" i="24"/>
  <c r="O190" i="24" s="1"/>
  <c r="N198" i="24"/>
  <c r="O198" i="24" s="1"/>
  <c r="N206" i="24"/>
  <c r="O206" i="24" s="1"/>
  <c r="N127" i="24"/>
  <c r="O127" i="24" s="1"/>
  <c r="N159" i="24"/>
  <c r="O159" i="24" s="1"/>
  <c r="N175" i="24"/>
  <c r="O175" i="24" s="1"/>
  <c r="N191" i="24"/>
  <c r="O191" i="24" s="1"/>
  <c r="N207" i="24"/>
  <c r="O207" i="24" s="1"/>
  <c r="N23" i="24"/>
  <c r="O23" i="24" s="1"/>
  <c r="N31" i="24"/>
  <c r="O31" i="24" s="1"/>
  <c r="N39" i="24"/>
  <c r="O39" i="24" s="1"/>
  <c r="N47" i="24"/>
  <c r="O47" i="24" s="1"/>
  <c r="N55" i="24"/>
  <c r="O55" i="24" s="1"/>
  <c r="N63" i="24"/>
  <c r="O63" i="24" s="1"/>
  <c r="N71" i="24"/>
  <c r="O71" i="24" s="1"/>
  <c r="N79" i="24"/>
  <c r="O79" i="24" s="1"/>
  <c r="N87" i="24"/>
  <c r="O87" i="24" s="1"/>
  <c r="N95" i="24"/>
  <c r="O95" i="24" s="1"/>
  <c r="N103" i="24"/>
  <c r="O103" i="24" s="1"/>
  <c r="N111" i="24"/>
  <c r="O111" i="24" s="1"/>
  <c r="N119" i="24"/>
  <c r="O119" i="24" s="1"/>
  <c r="N135" i="24"/>
  <c r="O135" i="24" s="1"/>
  <c r="N143" i="24"/>
  <c r="O143" i="24" s="1"/>
  <c r="N151" i="24"/>
  <c r="O151" i="24" s="1"/>
  <c r="N167" i="24"/>
  <c r="O167" i="24" s="1"/>
  <c r="N183" i="24"/>
  <c r="O183" i="24" s="1"/>
  <c r="N199" i="24"/>
  <c r="O199" i="24" s="1"/>
  <c r="N24" i="24"/>
  <c r="O24" i="24" s="1"/>
  <c r="N32" i="24"/>
  <c r="O32" i="24" s="1"/>
  <c r="N40" i="24"/>
  <c r="O40" i="24" s="1"/>
  <c r="N48" i="24"/>
  <c r="O48" i="24" s="1"/>
  <c r="N56" i="24"/>
  <c r="O56" i="24" s="1"/>
  <c r="N64" i="24"/>
  <c r="O64" i="24" s="1"/>
  <c r="N72" i="24"/>
  <c r="O72" i="24" s="1"/>
  <c r="N80" i="24"/>
  <c r="O80" i="24" s="1"/>
  <c r="N88" i="24"/>
  <c r="O88" i="24" s="1"/>
  <c r="N96" i="24"/>
  <c r="O96" i="24" s="1"/>
  <c r="N104" i="24"/>
  <c r="O104" i="24" s="1"/>
  <c r="N112" i="24"/>
  <c r="O112" i="24" s="1"/>
  <c r="N120" i="24"/>
  <c r="O120" i="24" s="1"/>
  <c r="N128" i="24"/>
  <c r="O128" i="24" s="1"/>
  <c r="N136" i="24"/>
  <c r="O136" i="24" s="1"/>
  <c r="N144" i="24"/>
  <c r="O144" i="24" s="1"/>
  <c r="N152" i="24"/>
  <c r="O152" i="24" s="1"/>
  <c r="N160" i="24"/>
  <c r="O160" i="24" s="1"/>
  <c r="N168" i="24"/>
  <c r="O168" i="24" s="1"/>
  <c r="N176" i="24"/>
  <c r="O176" i="24" s="1"/>
  <c r="N184" i="24"/>
  <c r="O184" i="24" s="1"/>
  <c r="N192" i="24"/>
  <c r="O192" i="24" s="1"/>
  <c r="N200" i="24"/>
  <c r="O200" i="24" s="1"/>
  <c r="N208" i="24"/>
  <c r="O208" i="24" s="1"/>
  <c r="N25" i="24"/>
  <c r="O25" i="24" s="1"/>
  <c r="N33" i="24"/>
  <c r="O33" i="24" s="1"/>
  <c r="N41" i="24"/>
  <c r="O41" i="24" s="1"/>
  <c r="N49" i="24"/>
  <c r="O49" i="24" s="1"/>
  <c r="N57" i="24"/>
  <c r="O57" i="24" s="1"/>
  <c r="N65" i="24"/>
  <c r="O65" i="24" s="1"/>
  <c r="N73" i="24"/>
  <c r="O73" i="24" s="1"/>
  <c r="N81" i="24"/>
  <c r="O81" i="24" s="1"/>
  <c r="N89" i="24"/>
  <c r="O89" i="24" s="1"/>
  <c r="N97" i="24"/>
  <c r="O97" i="24" s="1"/>
  <c r="N105" i="24"/>
  <c r="O105" i="24" s="1"/>
  <c r="N113" i="24"/>
  <c r="O113" i="24" s="1"/>
  <c r="N121" i="24"/>
  <c r="O121" i="24" s="1"/>
  <c r="N129" i="24"/>
  <c r="O129" i="24" s="1"/>
  <c r="N137" i="24"/>
  <c r="O137" i="24" s="1"/>
  <c r="N145" i="24"/>
  <c r="O145" i="24" s="1"/>
  <c r="N153" i="24"/>
  <c r="O153" i="24" s="1"/>
  <c r="N161" i="24"/>
  <c r="O161" i="24" s="1"/>
  <c r="N169" i="24"/>
  <c r="O169" i="24" s="1"/>
  <c r="N177" i="24"/>
  <c r="O177" i="24" s="1"/>
  <c r="N185" i="24"/>
  <c r="O185" i="24" s="1"/>
  <c r="N193" i="24"/>
  <c r="O193" i="24" s="1"/>
  <c r="N201" i="24"/>
  <c r="O201" i="24" s="1"/>
  <c r="N209" i="24"/>
  <c r="O209" i="24" s="1"/>
  <c r="N44" i="24"/>
  <c r="O44" i="24" s="1"/>
  <c r="N68" i="24"/>
  <c r="O68" i="24" s="1"/>
  <c r="N84" i="24"/>
  <c r="O84" i="24" s="1"/>
  <c r="N100" i="24"/>
  <c r="O100" i="24" s="1"/>
  <c r="N116" i="24"/>
  <c r="O116" i="24" s="1"/>
  <c r="N140" i="24"/>
  <c r="O140" i="24" s="1"/>
  <c r="N164" i="24"/>
  <c r="O164" i="24" s="1"/>
  <c r="N180" i="24"/>
  <c r="O180" i="24" s="1"/>
  <c r="N212" i="24"/>
  <c r="O212" i="24" s="1"/>
  <c r="N26" i="24"/>
  <c r="O26" i="24" s="1"/>
  <c r="N34" i="24"/>
  <c r="O34" i="24" s="1"/>
  <c r="N42" i="24"/>
  <c r="O42" i="24" s="1"/>
  <c r="N50" i="24"/>
  <c r="O50" i="24" s="1"/>
  <c r="N58" i="24"/>
  <c r="O58" i="24" s="1"/>
  <c r="N66" i="24"/>
  <c r="O66" i="24" s="1"/>
  <c r="N74" i="24"/>
  <c r="O74" i="24" s="1"/>
  <c r="N82" i="24"/>
  <c r="O82" i="24" s="1"/>
  <c r="N90" i="24"/>
  <c r="O90" i="24" s="1"/>
  <c r="N98" i="24"/>
  <c r="O98" i="24" s="1"/>
  <c r="N106" i="24"/>
  <c r="O106" i="24" s="1"/>
  <c r="N114" i="24"/>
  <c r="O114" i="24" s="1"/>
  <c r="N122" i="24"/>
  <c r="O122" i="24" s="1"/>
  <c r="N130" i="24"/>
  <c r="O130" i="24" s="1"/>
  <c r="N138" i="24"/>
  <c r="O138" i="24" s="1"/>
  <c r="N146" i="24"/>
  <c r="O146" i="24" s="1"/>
  <c r="N154" i="24"/>
  <c r="O154" i="24" s="1"/>
  <c r="N162" i="24"/>
  <c r="O162" i="24" s="1"/>
  <c r="N170" i="24"/>
  <c r="O170" i="24" s="1"/>
  <c r="N178" i="24"/>
  <c r="O178" i="24" s="1"/>
  <c r="N186" i="24"/>
  <c r="O186" i="24" s="1"/>
  <c r="N194" i="24"/>
  <c r="O194" i="24" s="1"/>
  <c r="N202" i="24"/>
  <c r="O202" i="24" s="1"/>
  <c r="N210" i="24"/>
  <c r="O210" i="24" s="1"/>
  <c r="N36" i="24"/>
  <c r="O36" i="24" s="1"/>
  <c r="N52" i="24"/>
  <c r="O52" i="24" s="1"/>
  <c r="N76" i="24"/>
  <c r="O76" i="24" s="1"/>
  <c r="N108" i="24"/>
  <c r="O108" i="24" s="1"/>
  <c r="N132" i="24"/>
  <c r="O132" i="24" s="1"/>
  <c r="N156" i="24"/>
  <c r="O156" i="24" s="1"/>
  <c r="N188" i="24"/>
  <c r="O188" i="24" s="1"/>
  <c r="N204" i="24"/>
  <c r="O204" i="24" s="1"/>
  <c r="N27" i="24"/>
  <c r="O27" i="24" s="1"/>
  <c r="N35" i="24"/>
  <c r="O35" i="24" s="1"/>
  <c r="N43" i="24"/>
  <c r="O43" i="24" s="1"/>
  <c r="N51" i="24"/>
  <c r="O51" i="24" s="1"/>
  <c r="N59" i="24"/>
  <c r="O59" i="24" s="1"/>
  <c r="N67" i="24"/>
  <c r="O67" i="24" s="1"/>
  <c r="N75" i="24"/>
  <c r="O75" i="24" s="1"/>
  <c r="N83" i="24"/>
  <c r="O83" i="24" s="1"/>
  <c r="N91" i="24"/>
  <c r="O91" i="24" s="1"/>
  <c r="N99" i="24"/>
  <c r="O99" i="24" s="1"/>
  <c r="N107" i="24"/>
  <c r="O107" i="24" s="1"/>
  <c r="N115" i="24"/>
  <c r="O115" i="24" s="1"/>
  <c r="N123" i="24"/>
  <c r="O123" i="24" s="1"/>
  <c r="N131" i="24"/>
  <c r="O131" i="24" s="1"/>
  <c r="N139" i="24"/>
  <c r="O139" i="24" s="1"/>
  <c r="N147" i="24"/>
  <c r="O147" i="24" s="1"/>
  <c r="N155" i="24"/>
  <c r="O155" i="24" s="1"/>
  <c r="N163" i="24"/>
  <c r="O163" i="24" s="1"/>
  <c r="N171" i="24"/>
  <c r="O171" i="24" s="1"/>
  <c r="N179" i="24"/>
  <c r="O179" i="24" s="1"/>
  <c r="N187" i="24"/>
  <c r="O187" i="24" s="1"/>
  <c r="N195" i="24"/>
  <c r="O195" i="24" s="1"/>
  <c r="N203" i="24"/>
  <c r="O203" i="24" s="1"/>
  <c r="N211" i="24"/>
  <c r="O211" i="24" s="1"/>
  <c r="N21" i="24"/>
  <c r="O21" i="24" s="1"/>
  <c r="N28" i="24"/>
  <c r="O28" i="24" s="1"/>
  <c r="N60" i="24"/>
  <c r="O60" i="24" s="1"/>
  <c r="N92" i="24"/>
  <c r="O92" i="24" s="1"/>
  <c r="N124" i="24"/>
  <c r="O124" i="24" s="1"/>
  <c r="N148" i="24"/>
  <c r="O148" i="24" s="1"/>
  <c r="N172" i="24"/>
  <c r="O172" i="24" s="1"/>
  <c r="N196" i="24"/>
  <c r="O196" i="24" s="1"/>
  <c r="J21" i="24"/>
  <c r="Z4" i="24" l="1"/>
  <c r="C28" i="18" s="1"/>
  <c r="P22" i="24"/>
  <c r="P23" i="24" s="1"/>
  <c r="P24" i="24" s="1"/>
  <c r="P25" i="24" s="1"/>
  <c r="P26" i="24" s="1"/>
  <c r="P27" i="24" s="1"/>
  <c r="P28" i="24" s="1"/>
  <c r="P29" i="24" s="1"/>
  <c r="P30" i="24" s="1"/>
  <c r="P31" i="24" s="1"/>
  <c r="P32" i="24" s="1"/>
  <c r="P33" i="24" s="1"/>
  <c r="P34" i="24" s="1"/>
  <c r="P35" i="24" s="1"/>
  <c r="P36" i="24" s="1"/>
  <c r="P37" i="24" s="1"/>
  <c r="P38" i="24" s="1"/>
  <c r="P39" i="24" s="1"/>
  <c r="P40" i="24" s="1"/>
  <c r="P41" i="24" s="1"/>
  <c r="P42" i="24" s="1"/>
  <c r="P43" i="24" s="1"/>
  <c r="P44" i="24" s="1"/>
  <c r="P45" i="24" s="1"/>
  <c r="P46" i="24" s="1"/>
  <c r="P47" i="24" s="1"/>
  <c r="P48" i="24" s="1"/>
  <c r="P49" i="24" s="1"/>
  <c r="P50" i="24" s="1"/>
  <c r="P51" i="24" s="1"/>
  <c r="P52" i="24" s="1"/>
  <c r="P53" i="24" s="1"/>
  <c r="P54" i="24" s="1"/>
  <c r="P55" i="24" s="1"/>
  <c r="P56" i="24" s="1"/>
  <c r="P57" i="24" s="1"/>
  <c r="P58" i="24" s="1"/>
  <c r="P59" i="24" s="1"/>
  <c r="P60" i="24" s="1"/>
  <c r="P61" i="24" s="1"/>
  <c r="P62" i="24" s="1"/>
  <c r="P63" i="24" s="1"/>
  <c r="P64" i="24" s="1"/>
  <c r="P65" i="24" s="1"/>
  <c r="P66" i="24" s="1"/>
  <c r="P67" i="24" s="1"/>
  <c r="P68" i="24" s="1"/>
  <c r="P69" i="24" s="1"/>
  <c r="P70" i="24" s="1"/>
  <c r="P71" i="24" s="1"/>
  <c r="P72" i="24" s="1"/>
  <c r="P73" i="24" s="1"/>
  <c r="P74" i="24" s="1"/>
  <c r="P75" i="24" s="1"/>
  <c r="P76" i="24" s="1"/>
  <c r="P77" i="24" s="1"/>
  <c r="P78" i="24" s="1"/>
  <c r="P79" i="24" s="1"/>
  <c r="P80" i="24" s="1"/>
  <c r="P81" i="24" s="1"/>
  <c r="P82" i="24" s="1"/>
  <c r="P83" i="24" s="1"/>
  <c r="P84" i="24" s="1"/>
  <c r="P85" i="24" s="1"/>
  <c r="P86" i="24" s="1"/>
  <c r="P87" i="24" s="1"/>
  <c r="P88" i="24" s="1"/>
  <c r="P89" i="24" s="1"/>
  <c r="P90" i="24" s="1"/>
  <c r="P91" i="24" s="1"/>
  <c r="P92" i="24" s="1"/>
  <c r="P93" i="24" s="1"/>
  <c r="P94" i="24" s="1"/>
  <c r="P95" i="24" s="1"/>
  <c r="P96" i="24" s="1"/>
  <c r="P97" i="24" s="1"/>
  <c r="P98" i="24" s="1"/>
  <c r="P99" i="24" s="1"/>
  <c r="P100" i="24" s="1"/>
  <c r="P101" i="24" s="1"/>
  <c r="P102" i="24" s="1"/>
  <c r="P103" i="24" s="1"/>
  <c r="P104" i="24" s="1"/>
  <c r="P105" i="24" s="1"/>
  <c r="P106" i="24" s="1"/>
  <c r="P107" i="24" s="1"/>
  <c r="P108" i="24" s="1"/>
  <c r="P109" i="24" s="1"/>
  <c r="P110" i="24" s="1"/>
  <c r="P111" i="24" s="1"/>
  <c r="P112" i="24" s="1"/>
  <c r="P113" i="24" s="1"/>
  <c r="P114" i="24" s="1"/>
  <c r="P115" i="24" s="1"/>
  <c r="P116" i="24" s="1"/>
  <c r="P117" i="24" s="1"/>
  <c r="P118" i="24" s="1"/>
  <c r="P119" i="24" s="1"/>
  <c r="P120" i="24" s="1"/>
  <c r="P121" i="24" s="1"/>
  <c r="P122" i="24" s="1"/>
  <c r="P123" i="24" s="1"/>
  <c r="P124" i="24" s="1"/>
  <c r="P125" i="24" s="1"/>
  <c r="P126" i="24" s="1"/>
  <c r="P127" i="24" s="1"/>
  <c r="P128" i="24" s="1"/>
  <c r="P129" i="24" s="1"/>
  <c r="P130" i="24" s="1"/>
  <c r="P131" i="24" s="1"/>
  <c r="P132" i="24" s="1"/>
  <c r="P133" i="24" s="1"/>
  <c r="P134" i="24" s="1"/>
  <c r="P135" i="24" s="1"/>
  <c r="P136" i="24" s="1"/>
  <c r="P137" i="24" s="1"/>
  <c r="P138" i="24" s="1"/>
  <c r="P139" i="24" s="1"/>
  <c r="P140" i="24" s="1"/>
  <c r="P141" i="24" s="1"/>
  <c r="P142" i="24" s="1"/>
  <c r="P143" i="24" s="1"/>
  <c r="P144" i="24" s="1"/>
  <c r="P145" i="24" s="1"/>
  <c r="P146" i="24" s="1"/>
  <c r="P147" i="24" s="1"/>
  <c r="P148" i="24" s="1"/>
  <c r="P149" i="24" s="1"/>
  <c r="P150" i="24" s="1"/>
  <c r="P151" i="24" s="1"/>
  <c r="P152" i="24" s="1"/>
  <c r="P153" i="24" s="1"/>
  <c r="P154" i="24" s="1"/>
  <c r="P155" i="24" s="1"/>
  <c r="P156" i="24" s="1"/>
  <c r="P157" i="24" s="1"/>
  <c r="P158" i="24" s="1"/>
  <c r="P159" i="24" s="1"/>
  <c r="P160" i="24" s="1"/>
  <c r="P161" i="24" s="1"/>
  <c r="P162" i="24" s="1"/>
  <c r="P163" i="24" s="1"/>
  <c r="P164" i="24" s="1"/>
  <c r="P165" i="24" s="1"/>
  <c r="P166" i="24" s="1"/>
  <c r="P167" i="24" s="1"/>
  <c r="P168" i="24" s="1"/>
  <c r="P169" i="24" s="1"/>
  <c r="P170" i="24" s="1"/>
  <c r="P171" i="24" s="1"/>
  <c r="P172" i="24" s="1"/>
  <c r="P173" i="24" s="1"/>
  <c r="P174" i="24" s="1"/>
  <c r="P175" i="24" s="1"/>
  <c r="P176" i="24" s="1"/>
  <c r="P177" i="24" s="1"/>
  <c r="P178" i="24" s="1"/>
  <c r="P179" i="24" s="1"/>
  <c r="P180" i="24" s="1"/>
  <c r="P181" i="24" s="1"/>
  <c r="P182" i="24" s="1"/>
  <c r="P183" i="24" s="1"/>
  <c r="P184" i="24" s="1"/>
  <c r="P185" i="24" s="1"/>
  <c r="P186" i="24" s="1"/>
  <c r="P187" i="24" s="1"/>
  <c r="P188" i="24" s="1"/>
  <c r="P189" i="24" s="1"/>
  <c r="P190" i="24" s="1"/>
  <c r="P191" i="24" s="1"/>
  <c r="P192" i="24" s="1"/>
  <c r="P193" i="24" s="1"/>
  <c r="P194" i="24" s="1"/>
  <c r="P195" i="24" s="1"/>
  <c r="P196" i="24" s="1"/>
  <c r="P197" i="24" s="1"/>
  <c r="P198" i="24" s="1"/>
  <c r="P199" i="24" s="1"/>
  <c r="P200" i="24" s="1"/>
  <c r="P201" i="24" s="1"/>
  <c r="P202" i="24" s="1"/>
  <c r="P203" i="24" s="1"/>
  <c r="P204" i="24" s="1"/>
  <c r="P205" i="24" s="1"/>
  <c r="P206" i="24" s="1"/>
  <c r="P207" i="24" s="1"/>
  <c r="P208" i="24" s="1"/>
  <c r="P209" i="24" s="1"/>
  <c r="P210" i="24" s="1"/>
  <c r="P211" i="24" s="1"/>
  <c r="P212" i="24" s="1"/>
  <c r="P213" i="24" s="1"/>
  <c r="P214" i="24" s="1"/>
  <c r="P215" i="24" s="1"/>
  <c r="P216" i="24" s="1"/>
  <c r="P217" i="24" s="1"/>
  <c r="P218" i="24" s="1"/>
  <c r="P219" i="24" s="1"/>
  <c r="P220" i="24" s="1"/>
  <c r="P221" i="24" s="1"/>
  <c r="P222" i="24" s="1"/>
  <c r="P223" i="24" s="1"/>
  <c r="R21" i="24"/>
  <c r="T21" i="24" s="1" a="1"/>
  <c r="T21" i="24" s="1"/>
  <c r="Z5" i="24"/>
  <c r="C29" i="18" s="1"/>
  <c r="R23" i="24" l="1"/>
  <c r="U23" i="24" s="1" a="1"/>
  <c r="U23" i="24" s="1"/>
  <c r="R22" i="24"/>
  <c r="U22" i="24" s="1" a="1"/>
  <c r="U22" i="24" s="1"/>
  <c r="U21" i="24" a="1"/>
  <c r="U21" i="24" s="1"/>
  <c r="R223" i="24"/>
  <c r="P224" i="24"/>
  <c r="R24" i="24"/>
  <c r="T23" i="24" l="1" a="1"/>
  <c r="T23" i="24" s="1"/>
  <c r="T22" i="24" a="1"/>
  <c r="T22" i="24" s="1"/>
  <c r="R224" i="24"/>
  <c r="P225" i="24"/>
  <c r="R25" i="24"/>
  <c r="R26" i="24"/>
  <c r="T24" i="24" a="1"/>
  <c r="T24" i="24" s="1"/>
  <c r="U24" i="24" a="1"/>
  <c r="U24" i="24" s="1"/>
  <c r="R225" i="24" l="1"/>
  <c r="P226" i="24"/>
  <c r="R226" i="24" s="1"/>
  <c r="R27" i="24"/>
  <c r="U25" i="24" a="1"/>
  <c r="U25" i="24" s="1"/>
  <c r="T25" i="24" a="1"/>
  <c r="T25" i="24" s="1"/>
  <c r="R28" i="24" l="1"/>
  <c r="U26" i="24" a="1"/>
  <c r="U26" i="24" s="1"/>
  <c r="T26" i="24" a="1"/>
  <c r="T26" i="24" s="1"/>
  <c r="R29" i="24" l="1"/>
  <c r="T27" i="24" a="1"/>
  <c r="T27" i="24" s="1"/>
  <c r="U27" i="24" a="1"/>
  <c r="U27" i="24" s="1"/>
  <c r="R30" i="24" l="1"/>
  <c r="T28" i="24" a="1"/>
  <c r="T28" i="24" s="1"/>
  <c r="U28" i="24" a="1"/>
  <c r="U28" i="24" s="1"/>
  <c r="R31" i="24" l="1"/>
  <c r="U29" i="24" a="1"/>
  <c r="U29" i="24" s="1"/>
  <c r="T29" i="24" a="1"/>
  <c r="T29" i="24" s="1"/>
  <c r="R32" i="24" l="1"/>
  <c r="T30" i="24" a="1"/>
  <c r="T30" i="24" s="1"/>
  <c r="U30" i="24" a="1"/>
  <c r="U30" i="24" s="1"/>
  <c r="R33" i="24" l="1"/>
  <c r="U31" i="24" a="1"/>
  <c r="U31" i="24" s="1"/>
  <c r="T31" i="24" a="1"/>
  <c r="T31" i="24" s="1"/>
  <c r="R34" i="24" l="1"/>
  <c r="T32" i="24" a="1"/>
  <c r="T32" i="24" s="1"/>
  <c r="U32" i="24" a="1"/>
  <c r="U32" i="24" s="1"/>
  <c r="R35" i="24" l="1"/>
  <c r="T33" i="24" a="1"/>
  <c r="T33" i="24" s="1"/>
  <c r="U33" i="24" a="1"/>
  <c r="U33" i="24" s="1"/>
  <c r="R36" i="24" l="1"/>
  <c r="U34" i="24" a="1"/>
  <c r="U34" i="24" s="1"/>
  <c r="T34" i="24" a="1"/>
  <c r="T34" i="24" s="1"/>
  <c r="R38" i="24" l="1"/>
  <c r="R37" i="24"/>
  <c r="T35" i="24" a="1"/>
  <c r="T35" i="24" s="1"/>
  <c r="U35" i="24" a="1"/>
  <c r="U35" i="24" s="1"/>
  <c r="T36" i="24" l="1" a="1"/>
  <c r="T36" i="24" s="1"/>
  <c r="U36" i="24" a="1"/>
  <c r="U36" i="24" s="1"/>
  <c r="R39" i="24" l="1"/>
  <c r="R40" i="24"/>
  <c r="T37" i="24" a="1"/>
  <c r="T37" i="24" s="1"/>
  <c r="U37" i="24" a="1"/>
  <c r="U37" i="24" s="1"/>
  <c r="R41" i="24" l="1"/>
  <c r="T38" i="24" a="1"/>
  <c r="T38" i="24" s="1"/>
  <c r="U38" i="24" a="1"/>
  <c r="U38" i="24" s="1"/>
  <c r="R42" i="24" l="1"/>
  <c r="U39" i="24" a="1"/>
  <c r="U39" i="24" s="1"/>
  <c r="T39" i="24" a="1"/>
  <c r="T39" i="24" s="1"/>
  <c r="R43" i="24" l="1"/>
  <c r="U40" i="24" a="1"/>
  <c r="U40" i="24" s="1"/>
  <c r="T40" i="24" a="1"/>
  <c r="T40" i="24" s="1"/>
  <c r="R44" i="24" l="1"/>
  <c r="U41" i="24" a="1"/>
  <c r="U41" i="24" s="1"/>
  <c r="T41" i="24" a="1"/>
  <c r="T41" i="24" s="1"/>
  <c r="R45" i="24" l="1"/>
  <c r="T42" i="24" a="1"/>
  <c r="T42" i="24" s="1"/>
  <c r="U42" i="24" a="1"/>
  <c r="U42" i="24" s="1"/>
  <c r="R46" i="24" l="1"/>
  <c r="T43" i="24" a="1"/>
  <c r="T43" i="24" s="1"/>
  <c r="U43" i="24" a="1"/>
  <c r="U43" i="24" s="1"/>
  <c r="R47" i="24" l="1"/>
  <c r="T44" i="24" a="1"/>
  <c r="T44" i="24" s="1"/>
  <c r="U44" i="24" a="1"/>
  <c r="U44" i="24" s="1"/>
  <c r="R48" i="24" l="1"/>
  <c r="U45" i="24" a="1"/>
  <c r="U45" i="24" s="1"/>
  <c r="T45" i="24" a="1"/>
  <c r="T45" i="24" s="1"/>
  <c r="R49" i="24" l="1"/>
  <c r="T46" i="24" a="1"/>
  <c r="T46" i="24" s="1"/>
  <c r="U46" i="24" a="1"/>
  <c r="U46" i="24" s="1"/>
  <c r="R50" i="24" l="1"/>
  <c r="T47" i="24" a="1"/>
  <c r="T47" i="24" s="1"/>
  <c r="U47" i="24" a="1"/>
  <c r="U47" i="24" s="1"/>
  <c r="R51" i="24" l="1"/>
  <c r="T48" i="24" a="1"/>
  <c r="T48" i="24" s="1"/>
  <c r="U48" i="24" a="1"/>
  <c r="U48" i="24" s="1"/>
  <c r="R52" i="24" l="1"/>
  <c r="T49" i="24" a="1"/>
  <c r="T49" i="24" s="1"/>
  <c r="U49" i="24" a="1"/>
  <c r="U49" i="24" s="1"/>
  <c r="R53" i="24" l="1"/>
  <c r="U50" i="24" a="1"/>
  <c r="U50" i="24" s="1"/>
  <c r="T50" i="24" a="1"/>
  <c r="T50" i="24" s="1"/>
  <c r="R54" i="24" l="1"/>
  <c r="T51" i="24" a="1"/>
  <c r="T51" i="24" s="1"/>
  <c r="U51" i="24" a="1"/>
  <c r="U51" i="24" s="1"/>
  <c r="R55" i="24" l="1"/>
  <c r="U52" i="24" a="1"/>
  <c r="U52" i="24" s="1"/>
  <c r="T52" i="24" a="1"/>
  <c r="T52" i="24" s="1"/>
  <c r="R56" i="24" l="1"/>
  <c r="T53" i="24" a="1"/>
  <c r="T53" i="24" s="1"/>
  <c r="U53" i="24" a="1"/>
  <c r="U53" i="24" s="1"/>
  <c r="R57" i="24" l="1"/>
  <c r="T54" i="24" a="1"/>
  <c r="T54" i="24" s="1"/>
  <c r="U54" i="24" a="1"/>
  <c r="U54" i="24" s="1"/>
  <c r="R58" i="24" l="1"/>
  <c r="T55" i="24" a="1"/>
  <c r="T55" i="24" s="1"/>
  <c r="U55" i="24" a="1"/>
  <c r="U55" i="24" s="1"/>
  <c r="R59" i="24" l="1"/>
  <c r="T56" i="24" a="1"/>
  <c r="T56" i="24" s="1"/>
  <c r="U56" i="24" a="1"/>
  <c r="U56" i="24" s="1"/>
  <c r="R60" i="24" l="1"/>
  <c r="T57" i="24" a="1"/>
  <c r="T57" i="24" s="1"/>
  <c r="U57" i="24" a="1"/>
  <c r="U57" i="24" s="1"/>
  <c r="R61" i="24" l="1"/>
  <c r="U58" i="24" a="1"/>
  <c r="U58" i="24" s="1"/>
  <c r="T58" i="24" a="1"/>
  <c r="T58" i="24" s="1"/>
  <c r="R62" i="24" l="1"/>
  <c r="T59" i="24" a="1"/>
  <c r="T59" i="24" s="1"/>
  <c r="U59" i="24" a="1"/>
  <c r="U59" i="24" s="1"/>
  <c r="R63" i="24" l="1"/>
  <c r="U60" i="24" a="1"/>
  <c r="U60" i="24" s="1"/>
  <c r="T60" i="24" a="1"/>
  <c r="T60" i="24" s="1"/>
  <c r="R64" i="24" l="1"/>
  <c r="T61" i="24" a="1"/>
  <c r="T61" i="24" s="1"/>
  <c r="U61" i="24" a="1"/>
  <c r="U61" i="24" s="1"/>
  <c r="R65" i="24" l="1"/>
  <c r="T62" i="24" a="1"/>
  <c r="T62" i="24" s="1"/>
  <c r="U62" i="24" a="1"/>
  <c r="U62" i="24" s="1"/>
  <c r="R66" i="24" l="1"/>
  <c r="T63" i="24" a="1"/>
  <c r="T63" i="24" s="1"/>
  <c r="U63" i="24" a="1"/>
  <c r="U63" i="24" s="1"/>
  <c r="R67" i="24" l="1"/>
  <c r="T64" i="24" a="1"/>
  <c r="T64" i="24" s="1"/>
  <c r="U64" i="24" a="1"/>
  <c r="U64" i="24" s="1"/>
  <c r="R68" i="24" l="1"/>
  <c r="U65" i="24" a="1"/>
  <c r="U65" i="24" s="1"/>
  <c r="T65" i="24" a="1"/>
  <c r="T65" i="24" s="1"/>
  <c r="R69" i="24" l="1"/>
  <c r="U66" i="24" a="1"/>
  <c r="U66" i="24" s="1"/>
  <c r="T66" i="24" a="1"/>
  <c r="T66" i="24" s="1"/>
  <c r="R70" i="24" l="1"/>
  <c r="U67" i="24" a="1"/>
  <c r="U67" i="24" s="1"/>
  <c r="T67" i="24" a="1"/>
  <c r="T67" i="24" s="1"/>
  <c r="R71" i="24" l="1"/>
  <c r="U68" i="24" a="1"/>
  <c r="U68" i="24" s="1"/>
  <c r="T68" i="24" a="1"/>
  <c r="T68" i="24" s="1"/>
  <c r="R72" i="24" l="1"/>
  <c r="U69" i="24" a="1"/>
  <c r="U69" i="24" s="1"/>
  <c r="T69" i="24" a="1"/>
  <c r="T69" i="24" s="1"/>
  <c r="R73" i="24" l="1"/>
  <c r="U70" i="24" a="1"/>
  <c r="U70" i="24" s="1"/>
  <c r="T70" i="24" a="1"/>
  <c r="T70" i="24" s="1"/>
  <c r="R74" i="24" l="1"/>
  <c r="T71" i="24" a="1"/>
  <c r="T71" i="24" s="1"/>
  <c r="U71" i="24" a="1"/>
  <c r="U71" i="24" s="1"/>
  <c r="R75" i="24" l="1"/>
  <c r="U72" i="24" a="1"/>
  <c r="U72" i="24" s="1"/>
  <c r="T72" i="24" a="1"/>
  <c r="T72" i="24" s="1"/>
  <c r="R76" i="24" l="1"/>
  <c r="T73" i="24" a="1"/>
  <c r="T73" i="24" s="1"/>
  <c r="U73" i="24" a="1"/>
  <c r="U73" i="24" s="1"/>
  <c r="R77" i="24" l="1"/>
  <c r="U74" i="24" a="1"/>
  <c r="U74" i="24" s="1"/>
  <c r="T74" i="24" a="1"/>
  <c r="T74" i="24" s="1"/>
  <c r="R78" i="24" l="1"/>
  <c r="T75" i="24" a="1"/>
  <c r="T75" i="24" s="1"/>
  <c r="U75" i="24" a="1"/>
  <c r="U75" i="24" s="1"/>
  <c r="R79" i="24" l="1"/>
  <c r="T76" i="24" a="1"/>
  <c r="T76" i="24" s="1"/>
  <c r="U76" i="24" a="1"/>
  <c r="U76" i="24" s="1"/>
  <c r="R80" i="24" l="1"/>
  <c r="T77" i="24" a="1"/>
  <c r="T77" i="24" s="1"/>
  <c r="U77" i="24" a="1"/>
  <c r="U77" i="24" s="1"/>
  <c r="R81" i="24" l="1"/>
  <c r="T78" i="24" a="1"/>
  <c r="T78" i="24" s="1"/>
  <c r="U78" i="24" a="1"/>
  <c r="U78" i="24" s="1"/>
  <c r="R82" i="24" l="1"/>
  <c r="U79" i="24" a="1"/>
  <c r="U79" i="24" s="1"/>
  <c r="T79" i="24" a="1"/>
  <c r="T79" i="24" s="1"/>
  <c r="R83" i="24" l="1"/>
  <c r="T80" i="24" a="1"/>
  <c r="T80" i="24" s="1"/>
  <c r="U80" i="24" a="1"/>
  <c r="U80" i="24" s="1"/>
  <c r="R84" i="24" l="1"/>
  <c r="U81" i="24" a="1"/>
  <c r="U81" i="24" s="1"/>
  <c r="T81" i="24" a="1"/>
  <c r="T81" i="24" s="1"/>
  <c r="R85" i="24" l="1"/>
  <c r="U82" i="24" a="1"/>
  <c r="U82" i="24" s="1"/>
  <c r="T82" i="24" a="1"/>
  <c r="T82" i="24" s="1"/>
  <c r="R86" i="24" l="1"/>
  <c r="T83" i="24" a="1"/>
  <c r="T83" i="24" s="1"/>
  <c r="U83" i="24" a="1"/>
  <c r="U83" i="24" s="1"/>
  <c r="R87" i="24" l="1"/>
  <c r="U84" i="24" a="1"/>
  <c r="U84" i="24" s="1"/>
  <c r="T84" i="24" a="1"/>
  <c r="T84" i="24" s="1"/>
  <c r="R88" i="24" l="1"/>
  <c r="U85" i="24" a="1"/>
  <c r="U85" i="24" s="1"/>
  <c r="T85" i="24" a="1"/>
  <c r="T85" i="24" s="1"/>
  <c r="R89" i="24" l="1"/>
  <c r="T86" i="24" a="1"/>
  <c r="T86" i="24" s="1"/>
  <c r="U86" i="24" a="1"/>
  <c r="U86" i="24" s="1"/>
  <c r="R90" i="24" l="1"/>
  <c r="T87" i="24" a="1"/>
  <c r="T87" i="24" s="1"/>
  <c r="U87" i="24" a="1"/>
  <c r="U87" i="24" s="1"/>
  <c r="R91" i="24" l="1"/>
  <c r="U88" i="24" a="1"/>
  <c r="U88" i="24" s="1"/>
  <c r="T88" i="24" a="1"/>
  <c r="T88" i="24" s="1"/>
  <c r="R92" i="24" l="1"/>
  <c r="U89" i="24" a="1"/>
  <c r="U89" i="24" s="1"/>
  <c r="T89" i="24" a="1"/>
  <c r="T89" i="24" s="1"/>
  <c r="R93" i="24" l="1"/>
  <c r="U90" i="24" a="1"/>
  <c r="U90" i="24" s="1"/>
  <c r="T90" i="24" a="1"/>
  <c r="T90" i="24" s="1"/>
  <c r="R94" i="24" l="1"/>
  <c r="T91" i="24" a="1"/>
  <c r="T91" i="24" s="1"/>
  <c r="U91" i="24" a="1"/>
  <c r="U91" i="24" s="1"/>
  <c r="R95" i="24" l="1"/>
  <c r="U92" i="24" a="1"/>
  <c r="U92" i="24" s="1"/>
  <c r="T92" i="24" a="1"/>
  <c r="T92" i="24" s="1"/>
  <c r="R96" i="24" l="1"/>
  <c r="T93" i="24" a="1"/>
  <c r="T93" i="24" s="1"/>
  <c r="U93" i="24" a="1"/>
  <c r="U93" i="24" s="1"/>
  <c r="R97" i="24" l="1"/>
  <c r="U94" i="24" a="1"/>
  <c r="U94" i="24" s="1"/>
  <c r="T94" i="24" a="1"/>
  <c r="T94" i="24" s="1"/>
  <c r="R98" i="24" l="1"/>
  <c r="T95" i="24" a="1"/>
  <c r="T95" i="24" s="1"/>
  <c r="U95" i="24" a="1"/>
  <c r="U95" i="24" s="1"/>
  <c r="R99" i="24" l="1"/>
  <c r="T96" i="24" a="1"/>
  <c r="T96" i="24" s="1"/>
  <c r="U96" i="24" a="1"/>
  <c r="U96" i="24" s="1"/>
  <c r="R100" i="24" l="1"/>
  <c r="U97" i="24" a="1"/>
  <c r="U97" i="24" s="1"/>
  <c r="T97" i="24" a="1"/>
  <c r="T97" i="24" s="1"/>
  <c r="R101" i="24" l="1"/>
  <c r="U98" i="24" a="1"/>
  <c r="U98" i="24" s="1"/>
  <c r="T98" i="24" a="1"/>
  <c r="T98" i="24" s="1"/>
  <c r="R102" i="24" l="1"/>
  <c r="T99" i="24" a="1"/>
  <c r="T99" i="24" s="1"/>
  <c r="U99" i="24" a="1"/>
  <c r="U99" i="24" s="1"/>
  <c r="R103" i="24" l="1"/>
  <c r="T100" i="24" a="1"/>
  <c r="T100" i="24" s="1"/>
  <c r="U100" i="24" a="1"/>
  <c r="U100" i="24" s="1"/>
  <c r="R104" i="24" l="1"/>
  <c r="U101" i="24" a="1"/>
  <c r="U101" i="24" s="1"/>
  <c r="T101" i="24" a="1"/>
  <c r="T101" i="24" s="1"/>
  <c r="R105" i="24" l="1"/>
  <c r="U102" i="24" a="1"/>
  <c r="U102" i="24" s="1"/>
  <c r="T102" i="24" a="1"/>
  <c r="T102" i="24" s="1"/>
  <c r="R106" i="24" l="1"/>
  <c r="T103" i="24" a="1"/>
  <c r="T103" i="24" s="1"/>
  <c r="U103" i="24" a="1"/>
  <c r="U103" i="24" s="1"/>
  <c r="R107" i="24" l="1"/>
  <c r="T104" i="24" a="1"/>
  <c r="T104" i="24" s="1"/>
  <c r="U104" i="24" a="1"/>
  <c r="U104" i="24" s="1"/>
  <c r="R108" i="24" l="1"/>
  <c r="T105" i="24" a="1"/>
  <c r="T105" i="24" s="1"/>
  <c r="U105" i="24" a="1"/>
  <c r="U105" i="24" s="1"/>
  <c r="R109" i="24" l="1"/>
  <c r="U106" i="24" a="1"/>
  <c r="U106" i="24" s="1"/>
  <c r="T106" i="24" a="1"/>
  <c r="T106" i="24" s="1"/>
  <c r="R110" i="24" l="1"/>
  <c r="U107" i="24" a="1"/>
  <c r="U107" i="24" s="1"/>
  <c r="T107" i="24" a="1"/>
  <c r="T107" i="24" s="1"/>
  <c r="R111" i="24" l="1"/>
  <c r="U108" i="24" a="1"/>
  <c r="U108" i="24" s="1"/>
  <c r="T108" i="24" a="1"/>
  <c r="T108" i="24" s="1"/>
  <c r="R112" i="24" l="1"/>
  <c r="U109" i="24" a="1"/>
  <c r="U109" i="24" s="1"/>
  <c r="T109" i="24" a="1"/>
  <c r="T109" i="24" s="1"/>
  <c r="R113" i="24" l="1"/>
  <c r="T110" i="24" a="1"/>
  <c r="T110" i="24" s="1"/>
  <c r="U110" i="24" a="1"/>
  <c r="U110" i="24" s="1"/>
  <c r="R114" i="24" l="1"/>
  <c r="U111" i="24" a="1"/>
  <c r="U111" i="24" s="1"/>
  <c r="T111" i="24" a="1"/>
  <c r="T111" i="24" s="1"/>
  <c r="R115" i="24" l="1"/>
  <c r="T112" i="24" a="1"/>
  <c r="T112" i="24" s="1"/>
  <c r="U112" i="24" a="1"/>
  <c r="U112" i="24" s="1"/>
  <c r="R116" i="24" l="1"/>
  <c r="T113" i="24" a="1"/>
  <c r="T113" i="24" s="1"/>
  <c r="U113" i="24" a="1"/>
  <c r="U113" i="24" s="1"/>
  <c r="R117" i="24" l="1"/>
  <c r="T114" i="24" a="1"/>
  <c r="T114" i="24" s="1"/>
  <c r="U114" i="24" a="1"/>
  <c r="U114" i="24" s="1"/>
  <c r="R118" i="24" l="1"/>
  <c r="U115" i="24" a="1"/>
  <c r="U115" i="24" s="1"/>
  <c r="T115" i="24" a="1"/>
  <c r="T115" i="24" s="1"/>
  <c r="R119" i="24" l="1"/>
  <c r="U116" i="24" a="1"/>
  <c r="U116" i="24" s="1"/>
  <c r="T116" i="24" a="1"/>
  <c r="T116" i="24" s="1"/>
  <c r="R120" i="24" l="1"/>
  <c r="U117" i="24" a="1"/>
  <c r="U117" i="24" s="1"/>
  <c r="T117" i="24" a="1"/>
  <c r="T117" i="24" s="1"/>
  <c r="R121" i="24" l="1"/>
  <c r="U118" i="24" a="1"/>
  <c r="U118" i="24" s="1"/>
  <c r="T118" i="24" a="1"/>
  <c r="T118" i="24" s="1"/>
  <c r="R122" i="24" l="1"/>
  <c r="U119" i="24" a="1"/>
  <c r="U119" i="24" s="1"/>
  <c r="T119" i="24" a="1"/>
  <c r="T119" i="24" s="1"/>
  <c r="R123" i="24" l="1"/>
  <c r="U120" i="24" a="1"/>
  <c r="U120" i="24" s="1"/>
  <c r="T120" i="24" a="1"/>
  <c r="T120" i="24" s="1"/>
  <c r="R124" i="24" l="1"/>
  <c r="T121" i="24" a="1"/>
  <c r="T121" i="24" s="1"/>
  <c r="U121" i="24" a="1"/>
  <c r="U121" i="24" s="1"/>
  <c r="R125" i="24" l="1"/>
  <c r="U122" i="24" a="1"/>
  <c r="U122" i="24" s="1"/>
  <c r="T122" i="24" a="1"/>
  <c r="T122" i="24" s="1"/>
  <c r="R126" i="24" l="1"/>
  <c r="T123" i="24" a="1"/>
  <c r="T123" i="24" s="1"/>
  <c r="U123" i="24" a="1"/>
  <c r="U123" i="24" s="1"/>
  <c r="R127" i="24" l="1"/>
  <c r="T124" i="24" a="1"/>
  <c r="T124" i="24" s="1"/>
  <c r="U124" i="24" a="1"/>
  <c r="U124" i="24" s="1"/>
  <c r="R128" i="24" l="1"/>
  <c r="T125" i="24" a="1"/>
  <c r="T125" i="24" s="1"/>
  <c r="U125" i="24" a="1"/>
  <c r="U125" i="24" s="1"/>
  <c r="R129" i="24" l="1"/>
  <c r="U126" i="24" a="1"/>
  <c r="U126" i="24" s="1"/>
  <c r="T126" i="24" a="1"/>
  <c r="T126" i="24" s="1"/>
  <c r="R130" i="24" l="1"/>
  <c r="T127" i="24" a="1"/>
  <c r="T127" i="24" s="1"/>
  <c r="U127" i="24" a="1"/>
  <c r="U127" i="24" s="1"/>
  <c r="R131" i="24" l="1"/>
  <c r="T128" i="24" a="1"/>
  <c r="T128" i="24" s="1"/>
  <c r="U128" i="24" a="1"/>
  <c r="U128" i="24" s="1"/>
  <c r="R132" i="24" l="1"/>
  <c r="U129" i="24" a="1"/>
  <c r="U129" i="24" s="1"/>
  <c r="T129" i="24" a="1"/>
  <c r="T129" i="24" s="1"/>
  <c r="R133" i="24" l="1"/>
  <c r="U130" i="24" a="1"/>
  <c r="U130" i="24" s="1"/>
  <c r="T130" i="24" a="1"/>
  <c r="T130" i="24" s="1"/>
  <c r="R134" i="24" l="1"/>
  <c r="U131" i="24" a="1"/>
  <c r="U131" i="24" s="1"/>
  <c r="T131" i="24" a="1"/>
  <c r="T131" i="24" s="1"/>
  <c r="R135" i="24" l="1"/>
  <c r="U132" i="24" a="1"/>
  <c r="U132" i="24" s="1"/>
  <c r="T132" i="24" a="1"/>
  <c r="T132" i="24" s="1"/>
  <c r="R136" i="24" l="1"/>
  <c r="U133" i="24" a="1"/>
  <c r="U133" i="24" s="1"/>
  <c r="T133" i="24" a="1"/>
  <c r="T133" i="24" s="1"/>
  <c r="R137" i="24" l="1"/>
  <c r="T134" i="24" a="1"/>
  <c r="T134" i="24" s="1"/>
  <c r="U134" i="24" a="1"/>
  <c r="U134" i="24" s="1"/>
  <c r="R138" i="24" l="1"/>
  <c r="T135" i="24" a="1"/>
  <c r="T135" i="24" s="1"/>
  <c r="U135" i="24" a="1"/>
  <c r="U135" i="24" s="1"/>
  <c r="R139" i="24" l="1"/>
  <c r="T136" i="24" a="1"/>
  <c r="T136" i="24" s="1"/>
  <c r="U136" i="24" a="1"/>
  <c r="U136" i="24" s="1"/>
  <c r="R140" i="24" l="1"/>
  <c r="T137" i="24" a="1"/>
  <c r="T137" i="24" s="1"/>
  <c r="U137" i="24" a="1"/>
  <c r="U137" i="24" s="1"/>
  <c r="R141" i="24" l="1"/>
  <c r="T138" i="24" a="1"/>
  <c r="T138" i="24" s="1"/>
  <c r="U138" i="24" a="1"/>
  <c r="U138" i="24" s="1"/>
  <c r="R142" i="24" l="1"/>
  <c r="U139" i="24" a="1"/>
  <c r="U139" i="24" s="1"/>
  <c r="T139" i="24" a="1"/>
  <c r="T139" i="24" s="1"/>
  <c r="R143" i="24" l="1"/>
  <c r="T140" i="24" a="1"/>
  <c r="T140" i="24" s="1"/>
  <c r="U140" i="24" a="1"/>
  <c r="U140" i="24" s="1"/>
  <c r="R144" i="24" l="1"/>
  <c r="T141" i="24" a="1"/>
  <c r="T141" i="24" s="1"/>
  <c r="U141" i="24" a="1"/>
  <c r="U141" i="24" s="1"/>
  <c r="R145" i="24" l="1"/>
  <c r="U142" i="24" a="1"/>
  <c r="U142" i="24" s="1"/>
  <c r="T142" i="24" a="1"/>
  <c r="T142" i="24" s="1"/>
  <c r="R146" i="24" l="1"/>
  <c r="T143" i="24" a="1"/>
  <c r="T143" i="24" s="1"/>
  <c r="U143" i="24" a="1"/>
  <c r="U143" i="24" s="1"/>
  <c r="R147" i="24" l="1"/>
  <c r="T144" i="24" a="1"/>
  <c r="T144" i="24" s="1"/>
  <c r="U144" i="24" a="1"/>
  <c r="U144" i="24" s="1"/>
  <c r="R148" i="24" l="1"/>
  <c r="T145" i="24" a="1"/>
  <c r="T145" i="24" s="1"/>
  <c r="U145" i="24" a="1"/>
  <c r="U145" i="24" s="1"/>
  <c r="R149" i="24" l="1"/>
  <c r="T146" i="24" a="1"/>
  <c r="T146" i="24" s="1"/>
  <c r="U146" i="24" a="1"/>
  <c r="U146" i="24" s="1"/>
  <c r="R150" i="24" l="1"/>
  <c r="U147" i="24" a="1"/>
  <c r="U147" i="24" s="1"/>
  <c r="T147" i="24" a="1"/>
  <c r="T147" i="24" s="1"/>
  <c r="R151" i="24" l="1"/>
  <c r="U148" i="24" a="1"/>
  <c r="U148" i="24" s="1"/>
  <c r="T148" i="24" a="1"/>
  <c r="T148" i="24" s="1"/>
  <c r="R152" i="24" l="1"/>
  <c r="T149" i="24" a="1"/>
  <c r="T149" i="24" s="1"/>
  <c r="U149" i="24" a="1"/>
  <c r="U149" i="24" s="1"/>
  <c r="R153" i="24" l="1"/>
  <c r="U150" i="24" a="1"/>
  <c r="U150" i="24" s="1"/>
  <c r="T150" i="24" a="1"/>
  <c r="T150" i="24" s="1"/>
  <c r="R154" i="24" l="1"/>
  <c r="T151" i="24" a="1"/>
  <c r="T151" i="24" s="1"/>
  <c r="U151" i="24" a="1"/>
  <c r="U151" i="24" s="1"/>
  <c r="R155" i="24" l="1"/>
  <c r="U152" i="24" a="1"/>
  <c r="U152" i="24" s="1"/>
  <c r="T152" i="24" a="1"/>
  <c r="T152" i="24" s="1"/>
  <c r="R156" i="24" l="1"/>
  <c r="T153" i="24" a="1"/>
  <c r="T153" i="24" s="1"/>
  <c r="U153" i="24" a="1"/>
  <c r="U153" i="24" s="1"/>
  <c r="R157" i="24" l="1"/>
  <c r="U154" i="24" a="1"/>
  <c r="U154" i="24" s="1"/>
  <c r="T154" i="24" a="1"/>
  <c r="T154" i="24" s="1"/>
  <c r="R158" i="24" l="1"/>
  <c r="U155" i="24" a="1"/>
  <c r="U155" i="24" s="1"/>
  <c r="T155" i="24" a="1"/>
  <c r="T155" i="24" s="1"/>
  <c r="R159" i="24" l="1"/>
  <c r="U156" i="24" a="1"/>
  <c r="U156" i="24" s="1"/>
  <c r="T156" i="24" a="1"/>
  <c r="T156" i="24" s="1"/>
  <c r="R160" i="24" l="1"/>
  <c r="U157" i="24" a="1"/>
  <c r="U157" i="24" s="1"/>
  <c r="T157" i="24" a="1"/>
  <c r="T157" i="24" s="1"/>
  <c r="R161" i="24" l="1"/>
  <c r="T158" i="24" a="1"/>
  <c r="T158" i="24" s="1"/>
  <c r="U158" i="24" a="1"/>
  <c r="U158" i="24" s="1"/>
  <c r="R162" i="24" l="1"/>
  <c r="T159" i="24" a="1"/>
  <c r="T159" i="24" s="1"/>
  <c r="U159" i="24" a="1"/>
  <c r="U159" i="24" s="1"/>
  <c r="R163" i="24" l="1"/>
  <c r="U160" i="24" a="1"/>
  <c r="U160" i="24" s="1"/>
  <c r="T160" i="24" a="1"/>
  <c r="T160" i="24" s="1"/>
  <c r="R164" i="24" l="1"/>
  <c r="T161" i="24" a="1"/>
  <c r="T161" i="24" s="1"/>
  <c r="U161" i="24" a="1"/>
  <c r="U161" i="24" s="1"/>
  <c r="R165" i="24" l="1"/>
  <c r="U162" i="24" a="1"/>
  <c r="U162" i="24" s="1"/>
  <c r="T162" i="24" a="1"/>
  <c r="T162" i="24" s="1"/>
  <c r="R166" i="24" l="1"/>
  <c r="U163" i="24" a="1"/>
  <c r="U163" i="24" s="1"/>
  <c r="T163" i="24" a="1"/>
  <c r="T163" i="24" s="1"/>
  <c r="R167" i="24" l="1"/>
  <c r="U164" i="24" a="1"/>
  <c r="U164" i="24" s="1"/>
  <c r="T164" i="24" a="1"/>
  <c r="T164" i="24" s="1"/>
  <c r="R168" i="24" l="1"/>
  <c r="U165" i="24" a="1"/>
  <c r="U165" i="24" s="1"/>
  <c r="T165" i="24" a="1"/>
  <c r="T165" i="24" s="1"/>
  <c r="R169" i="24" l="1"/>
  <c r="T166" i="24" a="1"/>
  <c r="T166" i="24" s="1"/>
  <c r="U166" i="24" a="1"/>
  <c r="U166" i="24" s="1"/>
  <c r="R170" i="24" l="1"/>
  <c r="U167" i="24" a="1"/>
  <c r="U167" i="24" s="1"/>
  <c r="T167" i="24" a="1"/>
  <c r="T167" i="24" s="1"/>
  <c r="R171" i="24" l="1"/>
  <c r="U168" i="24" a="1"/>
  <c r="U168" i="24" s="1"/>
  <c r="T168" i="24" a="1"/>
  <c r="T168" i="24" s="1"/>
  <c r="R172" i="24" l="1"/>
  <c r="U169" i="24" a="1"/>
  <c r="U169" i="24" s="1"/>
  <c r="T169" i="24" a="1"/>
  <c r="T169" i="24" s="1"/>
  <c r="R173" i="24" l="1"/>
  <c r="T170" i="24" a="1"/>
  <c r="T170" i="24" s="1"/>
  <c r="U170" i="24" a="1"/>
  <c r="U170" i="24" s="1"/>
  <c r="R174" i="24" l="1"/>
  <c r="T171" i="24" a="1"/>
  <c r="T171" i="24" s="1"/>
  <c r="U171" i="24" a="1"/>
  <c r="U171" i="24" s="1"/>
  <c r="R175" i="24" l="1"/>
  <c r="U172" i="24" a="1"/>
  <c r="U172" i="24" s="1"/>
  <c r="T172" i="24" a="1"/>
  <c r="T172" i="24" s="1"/>
  <c r="R176" i="24" l="1"/>
  <c r="T173" i="24" a="1"/>
  <c r="T173" i="24" s="1"/>
  <c r="U173" i="24" a="1"/>
  <c r="U173" i="24" s="1"/>
  <c r="R177" i="24" l="1"/>
  <c r="U174" i="24" a="1"/>
  <c r="U174" i="24" s="1"/>
  <c r="T174" i="24" a="1"/>
  <c r="T174" i="24" s="1"/>
  <c r="R178" i="24" l="1"/>
  <c r="U175" i="24" a="1"/>
  <c r="U175" i="24" s="1"/>
  <c r="T175" i="24" a="1"/>
  <c r="T175" i="24" s="1"/>
  <c r="R179" i="24" l="1"/>
  <c r="T176" i="24" a="1"/>
  <c r="T176" i="24" s="1"/>
  <c r="U176" i="24" a="1"/>
  <c r="U176" i="24" s="1"/>
  <c r="R180" i="24" l="1"/>
  <c r="T177" i="24" a="1"/>
  <c r="T177" i="24" s="1"/>
  <c r="U177" i="24" a="1"/>
  <c r="U177" i="24" s="1"/>
  <c r="R181" i="24" l="1"/>
  <c r="U178" i="24" a="1"/>
  <c r="U178" i="24" s="1"/>
  <c r="T178" i="24" a="1"/>
  <c r="T178" i="24" s="1"/>
  <c r="R182" i="24" l="1"/>
  <c r="U179" i="24" a="1"/>
  <c r="U179" i="24" s="1"/>
  <c r="T179" i="24" a="1"/>
  <c r="T179" i="24" s="1"/>
  <c r="R183" i="24" l="1"/>
  <c r="U180" i="24" a="1"/>
  <c r="U180" i="24" s="1"/>
  <c r="T180" i="24" a="1"/>
  <c r="T180" i="24" s="1"/>
  <c r="R184" i="24" l="1"/>
  <c r="T181" i="24" a="1"/>
  <c r="T181" i="24" s="1"/>
  <c r="U181" i="24" a="1"/>
  <c r="U181" i="24" s="1"/>
  <c r="R185" i="24" l="1"/>
  <c r="U182" i="24" a="1"/>
  <c r="U182" i="24" s="1"/>
  <c r="T182" i="24" a="1"/>
  <c r="T182" i="24" s="1"/>
  <c r="R186" i="24" l="1"/>
  <c r="U183" i="24" a="1"/>
  <c r="U183" i="24" s="1"/>
  <c r="T183" i="24" a="1"/>
  <c r="T183" i="24" s="1"/>
  <c r="R187" i="24" l="1"/>
  <c r="T184" i="24" a="1"/>
  <c r="T184" i="24" s="1"/>
  <c r="U184" i="24" a="1"/>
  <c r="U184" i="24" s="1"/>
  <c r="R188" i="24" l="1"/>
  <c r="U185" i="24" a="1"/>
  <c r="U185" i="24" s="1"/>
  <c r="T185" i="24" a="1"/>
  <c r="T185" i="24" s="1"/>
  <c r="R189" i="24" l="1"/>
  <c r="U186" i="24" a="1"/>
  <c r="U186" i="24" s="1"/>
  <c r="T186" i="24" a="1"/>
  <c r="T186" i="24" s="1"/>
  <c r="R190" i="24" l="1"/>
  <c r="T187" i="24" a="1"/>
  <c r="T187" i="24" s="1"/>
  <c r="U187" i="24" a="1"/>
  <c r="U187" i="24" s="1"/>
  <c r="R191" i="24" l="1"/>
  <c r="T188" i="24" a="1"/>
  <c r="T188" i="24" s="1"/>
  <c r="U188" i="24" a="1"/>
  <c r="U188" i="24" s="1"/>
  <c r="R192" i="24" l="1"/>
  <c r="U189" i="24" a="1"/>
  <c r="U189" i="24" s="1"/>
  <c r="T189" i="24" a="1"/>
  <c r="T189" i="24" s="1"/>
  <c r="R193" i="24" l="1"/>
  <c r="U190" i="24" a="1"/>
  <c r="U190" i="24" s="1"/>
  <c r="T190" i="24" a="1"/>
  <c r="T190" i="24" s="1"/>
  <c r="R194" i="24" l="1"/>
  <c r="T191" i="24" a="1"/>
  <c r="T191" i="24" s="1"/>
  <c r="U191" i="24" a="1"/>
  <c r="U191" i="24" s="1"/>
  <c r="R195" i="24" l="1"/>
  <c r="U192" i="24" a="1"/>
  <c r="U192" i="24" s="1"/>
  <c r="T192" i="24" a="1"/>
  <c r="T192" i="24" s="1"/>
  <c r="R196" i="24" l="1"/>
  <c r="U193" i="24" a="1"/>
  <c r="U193" i="24" s="1"/>
  <c r="T193" i="24" a="1"/>
  <c r="T193" i="24" s="1"/>
  <c r="R197" i="24" l="1"/>
  <c r="U194" i="24" a="1"/>
  <c r="U194" i="24" s="1"/>
  <c r="T194" i="24" a="1"/>
  <c r="T194" i="24" s="1"/>
  <c r="R198" i="24" l="1"/>
  <c r="T195" i="24" a="1"/>
  <c r="T195" i="24" s="1"/>
  <c r="U195" i="24" a="1"/>
  <c r="U195" i="24" s="1"/>
  <c r="R199" i="24" l="1"/>
  <c r="U196" i="24" a="1"/>
  <c r="U196" i="24" s="1"/>
  <c r="T196" i="24" a="1"/>
  <c r="T196" i="24" s="1"/>
  <c r="R200" i="24" l="1"/>
  <c r="T197" i="24" a="1"/>
  <c r="T197" i="24" s="1"/>
  <c r="U197" i="24" a="1"/>
  <c r="U197" i="24" s="1"/>
  <c r="R201" i="24" l="1"/>
  <c r="U198" i="24" a="1"/>
  <c r="U198" i="24" s="1"/>
  <c r="T198" i="24" a="1"/>
  <c r="T198" i="24" s="1"/>
  <c r="R202" i="24" l="1"/>
  <c r="T199" i="24" a="1"/>
  <c r="T199" i="24" s="1"/>
  <c r="U199" i="24" a="1"/>
  <c r="U199" i="24" s="1"/>
  <c r="R203" i="24" l="1"/>
  <c r="T200" i="24" a="1"/>
  <c r="T200" i="24" s="1"/>
  <c r="U200" i="24" a="1"/>
  <c r="U200" i="24" s="1"/>
  <c r="R204" i="24" l="1"/>
  <c r="T201" i="24" a="1"/>
  <c r="T201" i="24" s="1"/>
  <c r="U201" i="24" a="1"/>
  <c r="U201" i="24" s="1"/>
  <c r="R205" i="24" l="1"/>
  <c r="U202" i="24" a="1"/>
  <c r="U202" i="24" s="1"/>
  <c r="T202" i="24" a="1"/>
  <c r="T202" i="24" s="1"/>
  <c r="R206" i="24" l="1"/>
  <c r="U203" i="24" a="1"/>
  <c r="U203" i="24" s="1"/>
  <c r="T203" i="24" a="1"/>
  <c r="T203" i="24" s="1"/>
  <c r="R207" i="24" l="1"/>
  <c r="U204" i="24" a="1"/>
  <c r="U204" i="24" s="1"/>
  <c r="T204" i="24" a="1"/>
  <c r="T204" i="24" s="1"/>
  <c r="R208" i="24" l="1"/>
  <c r="U205" i="24" a="1"/>
  <c r="U205" i="24" s="1"/>
  <c r="T205" i="24" a="1"/>
  <c r="T205" i="24" s="1"/>
  <c r="R209" i="24" l="1"/>
  <c r="U206" i="24" a="1"/>
  <c r="U206" i="24" s="1"/>
  <c r="T206" i="24" a="1"/>
  <c r="T206" i="24" s="1"/>
  <c r="R210" i="24" l="1"/>
  <c r="U207" i="24" a="1"/>
  <c r="U207" i="24" s="1"/>
  <c r="T207" i="24" a="1"/>
  <c r="T207" i="24" s="1"/>
  <c r="R211" i="24" l="1"/>
  <c r="T208" i="24" a="1"/>
  <c r="T208" i="24" s="1"/>
  <c r="U208" i="24" a="1"/>
  <c r="U208" i="24" s="1"/>
  <c r="R212" i="24" l="1"/>
  <c r="T209" i="24" a="1"/>
  <c r="T209" i="24" s="1"/>
  <c r="U209" i="24" a="1"/>
  <c r="U209" i="24" s="1"/>
  <c r="R213" i="24" l="1"/>
  <c r="U210" i="24" a="1"/>
  <c r="U210" i="24" s="1"/>
  <c r="T210" i="24" a="1"/>
  <c r="T210" i="24" s="1"/>
  <c r="R214" i="24" l="1"/>
  <c r="U211" i="24" a="1"/>
  <c r="U211" i="24" s="1"/>
  <c r="T211" i="24" a="1"/>
  <c r="T211" i="24" s="1"/>
  <c r="R215" i="24" l="1"/>
  <c r="T212" i="24" a="1"/>
  <c r="T212" i="24" s="1"/>
  <c r="U212" i="24" a="1"/>
  <c r="U212" i="24" s="1"/>
  <c r="R216" i="24" l="1"/>
  <c r="T213" i="24" a="1"/>
  <c r="T213" i="24" s="1"/>
  <c r="U213" i="24" a="1"/>
  <c r="U213" i="24" s="1"/>
  <c r="R217" i="24" l="1"/>
  <c r="U214" i="24" a="1"/>
  <c r="U214" i="24" s="1"/>
  <c r="T214" i="24" a="1"/>
  <c r="T214" i="24" s="1"/>
  <c r="R218" i="24" l="1"/>
  <c r="T215" i="24" a="1"/>
  <c r="T215" i="24" s="1"/>
  <c r="U215" i="24" a="1"/>
  <c r="U215" i="24" s="1"/>
  <c r="R219" i="24" l="1"/>
  <c r="T216" i="24" a="1"/>
  <c r="T216" i="24" s="1"/>
  <c r="U216" i="24" a="1"/>
  <c r="U216" i="24" s="1"/>
  <c r="R220" i="24" l="1"/>
  <c r="U217" i="24" a="1"/>
  <c r="U217" i="24" s="1"/>
  <c r="T217" i="24" a="1"/>
  <c r="T217" i="24" s="1"/>
  <c r="R221" i="24" l="1"/>
  <c r="T218" i="24" a="1"/>
  <c r="T218" i="24" s="1"/>
  <c r="U218" i="24" a="1"/>
  <c r="U218" i="24" s="1"/>
  <c r="R222" i="24" l="1"/>
  <c r="U219" i="24" a="1"/>
  <c r="U219" i="24" s="1"/>
  <c r="T219" i="24" a="1"/>
  <c r="T219" i="24" s="1"/>
  <c r="U220" i="24" l="1" a="1"/>
  <c r="U220" i="24" s="1"/>
  <c r="T220" i="24" a="1"/>
  <c r="T220" i="24" s="1"/>
  <c r="U221" i="24" l="1" a="1"/>
  <c r="U221" i="24" s="1"/>
  <c r="T221" i="24" a="1"/>
  <c r="T221" i="24" s="1"/>
  <c r="T222" i="24" l="1" a="1"/>
  <c r="T222" i="24" s="1"/>
  <c r="U222" i="24" a="1"/>
  <c r="U222" i="24" s="1"/>
  <c r="U223" i="24" l="1" a="1"/>
  <c r="U223" i="24" s="1"/>
  <c r="T223" i="24" a="1"/>
  <c r="T223" i="24" s="1"/>
  <c r="T224" i="24" l="1" a="1"/>
  <c r="T224" i="24" s="1"/>
  <c r="U224" i="24" a="1"/>
  <c r="U224" i="24" s="1"/>
  <c r="U226" i="24" l="1" a="1"/>
  <c r="U226" i="24" s="1"/>
  <c r="T226" i="24" a="1"/>
  <c r="T226" i="24" s="1"/>
  <c r="U225" i="24" a="1"/>
  <c r="U225" i="24" s="1"/>
  <c r="AF133" i="24" s="1"/>
  <c r="D23" i="18" s="1"/>
  <c r="T225" i="24" a="1"/>
  <c r="T225" i="24" s="1"/>
  <c r="AE133" i="24" s="1"/>
  <c r="C23" i="18" s="1"/>
  <c r="AE123" i="24" l="1"/>
  <c r="C13" i="18" s="1"/>
  <c r="AE122" i="24"/>
  <c r="C12" i="18" s="1"/>
  <c r="G12" i="18" s="1"/>
  <c r="I12" i="18" s="1"/>
  <c r="AF123" i="24"/>
  <c r="D13" i="18" s="1"/>
  <c r="AF122" i="24"/>
  <c r="D12" i="18" s="1"/>
  <c r="H12" i="18" s="1"/>
  <c r="J12" i="18" s="1"/>
  <c r="AE124" i="24"/>
  <c r="C14" i="18" s="1"/>
  <c r="AE125" i="24"/>
  <c r="C15" i="18" s="1"/>
  <c r="AE126" i="24"/>
  <c r="C16" i="18" s="1"/>
  <c r="AE127" i="24"/>
  <c r="C17" i="18" s="1"/>
  <c r="AE128" i="24"/>
  <c r="C18" i="18" s="1"/>
  <c r="AE129" i="24"/>
  <c r="C19" i="18" s="1"/>
  <c r="AE130" i="24"/>
  <c r="C20" i="18" s="1"/>
  <c r="AE131" i="24"/>
  <c r="C21" i="18" s="1"/>
  <c r="AE132" i="24"/>
  <c r="C22" i="18" s="1"/>
  <c r="AF124" i="24"/>
  <c r="D14" i="18" s="1"/>
  <c r="AF125" i="24"/>
  <c r="D15" i="18" s="1"/>
  <c r="AF126" i="24"/>
  <c r="D16" i="18" s="1"/>
  <c r="AF127" i="24"/>
  <c r="D17" i="18" s="1"/>
  <c r="AF128" i="24"/>
  <c r="D18" i="18" s="1"/>
  <c r="AF129" i="24"/>
  <c r="D19" i="18" s="1"/>
  <c r="AF130" i="24"/>
  <c r="D20" i="18" s="1"/>
  <c r="AF131" i="24"/>
  <c r="D21" i="18" s="1"/>
  <c r="AF132" i="24"/>
  <c r="D22" i="18" s="1"/>
  <c r="H13" i="18" l="1"/>
  <c r="J13" i="18" s="1"/>
  <c r="G13" i="18"/>
  <c r="I13" i="18" s="1"/>
  <c r="C24" i="18"/>
  <c r="D24" i="18"/>
  <c r="F28" i="18" s="1"/>
  <c r="H14" i="18" l="1"/>
  <c r="J14" i="18" s="1"/>
  <c r="G14" i="18"/>
  <c r="I28" i="18"/>
  <c r="H28" i="18"/>
  <c r="J28" i="18"/>
  <c r="G119" i="18"/>
  <c r="F27" i="18"/>
  <c r="J27" i="18" s="1"/>
  <c r="H119" i="18"/>
  <c r="H15" i="18" l="1"/>
  <c r="J15" i="18" s="1"/>
  <c r="G15" i="18"/>
  <c r="I14" i="18"/>
  <c r="I27" i="18"/>
  <c r="H27" i="18"/>
  <c r="F29" i="18"/>
  <c r="I119" i="18" s="1"/>
  <c r="H16" i="18" l="1"/>
  <c r="J16" i="18" s="1"/>
  <c r="G16" i="18"/>
  <c r="I15" i="18"/>
  <c r="J29" i="18"/>
  <c r="I29" i="18"/>
  <c r="H29" i="18"/>
  <c r="H17" i="18" l="1"/>
  <c r="J17" i="18" s="1"/>
  <c r="I16" i="18"/>
  <c r="G17" i="18"/>
  <c r="H18" i="18" l="1"/>
  <c r="J18" i="18" s="1"/>
  <c r="I17" i="18"/>
  <c r="G18" i="18"/>
  <c r="H19" i="18" l="1"/>
  <c r="J19" i="18" s="1"/>
  <c r="G19" i="18"/>
  <c r="I18" i="18"/>
  <c r="H20" i="18" l="1"/>
  <c r="J20" i="18" s="1"/>
  <c r="G20" i="18"/>
  <c r="I19" i="18"/>
  <c r="H21" i="18" l="1"/>
  <c r="J21" i="18" s="1"/>
  <c r="I20" i="18"/>
  <c r="G21" i="18"/>
  <c r="H22" i="18" l="1"/>
  <c r="J22" i="18" s="1"/>
  <c r="G22" i="18"/>
  <c r="I21" i="18"/>
  <c r="H23" i="18" l="1"/>
  <c r="J23" i="18" s="1"/>
  <c r="G23" i="18"/>
  <c r="I23" i="18" s="1"/>
  <c r="I2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tc={8AABABD2-4310-48AF-A7E8-00170848F3ED}</author>
  </authors>
  <commentList>
    <comment ref="AC3" authorId="0" shapeId="0" xr:uid="{8AABABD2-4310-48AF-A7E8-00170848F3ED}">
      <text>
        <t xml:space="preserve">[Threaded comment]
Your version of Excel allows you to read this threaded comment; however, any edits to it will get removed if the file is opened in a newer version of Excel. Learn more: https://go.microsoft.com/fwlink/?linkid=870924
Comment:
    Special Day Type	Day Code
Early Dismissal 1	90
Early Dismissal 2	91
Early Dismissal 3	92
Extra Day 1	95
Extra Day 2	96
Extra Day 3	97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tc={DC5E533E-F0C0-46C0-AEC1-70848D48E021}</author>
    <author>tc={8DD3B7B1-678B-46E2-889F-C2A0F5B74359}</author>
    <author>tc={B713BBEB-3769-4693-A8B3-0AA264BE7E1B}</author>
    <author>tc={C07D6FBD-1EA0-42FB-B844-DCC95337D530}</author>
  </authors>
  <commentList>
    <comment ref="I1" authorId="0" shapeId="0" xr:uid="{DC5E533E-F0C0-46C0-AEC1-70848D48E021}">
      <text>
        <t xml:space="preserve">[Threaded comment]
Your version of Excel allows you to read this threaded comment; however, any edits to it will get removed if the file is opened in a newer version of Excel. Learn more: https://go.microsoft.com/fwlink/?linkid=870924
Comment:
    This number is the result of a lookup of the timetable type from the first page. It is used on the calculation page to set schedule day
</t>
      </text>
    </comment>
    <comment ref="B3" authorId="1" shapeId="0" xr:uid="{8DD3B7B1-678B-46E2-889F-C2A0F5B74359}">
      <text>
        <t>[Threaded comment]
Your version of Excel allows you to read this threaded comment; however, any edits to it will get removed if the file is opened in a newer version of Excel. Learn more: https://go.microsoft.com/fwlink/?linkid=870924
Comment:
    The entries below are used on the calendar page to classify days. To add extra types, drag the bottom cell down and then put the new types above. This will automatically populate the drop-downs on the calendar page.</t>
      </text>
    </comment>
    <comment ref="F3" authorId="2" shapeId="0" xr:uid="{B713BBEB-3769-4693-A8B3-0AA264BE7E1B}">
      <text>
        <t>[Threaded comment]
Your version of Excel allows you to read this threaded comment; however, any edits to it will get removed if the file is opened in a newer version of Excel. Learn more: https://go.microsoft.com/fwlink/?linkid=870924
Comment:
    The entries below are used to populate the drop-downs for activity type on the timetable setup pages and the exceptions page. See note about Type of Day for instructions on adding entries.
To add extra types, drag the bottom cell down and then put the new types above.</t>
      </text>
    </comment>
    <comment ref="I3" authorId="3" shapeId="0" xr:uid="{C07D6FBD-1EA0-42FB-B844-DCC95337D530}">
      <text>
        <t xml:space="preserve">[Threaded comment]
Your version of Excel allows you to read this threaded comment; however, any edits to it will get removed if the file is opened in a newer version of Excel. Learn more: https://go.microsoft.com/fwlink/?linkid=870924
Comment:
    The entries in this block are used to populate the dropdown for timetable type on the initial setup page. To add extra types, drag the bottom cell down and then put the new types above.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<sst xmlns="http://schemas.openxmlformats.org/spreadsheetml/2006/main" count="8996" uniqueCount="4312">
  <si>
    <t>Teacher Name</t>
  </si>
  <si>
    <t>School</t>
  </si>
  <si>
    <t>FTE</t>
  </si>
  <si>
    <t>Two day rotation</t>
  </si>
  <si>
    <t xml:space="preserve"> </t>
  </si>
  <si>
    <t>August</t>
  </si>
  <si>
    <t>Sunday</t>
  </si>
  <si>
    <t>Notes:</t>
  </si>
  <si>
    <t>Closed (non-operational)</t>
  </si>
  <si>
    <t>Day 1/Monday</t>
  </si>
  <si>
    <t>Day 2/Tuesday</t>
  </si>
  <si>
    <t>Day 3/Wednesday</t>
  </si>
  <si>
    <t>Day 4/Thursday</t>
  </si>
  <si>
    <t>Day 5/Friday</t>
  </si>
  <si>
    <t>Day 6</t>
  </si>
  <si>
    <t>Day 10</t>
  </si>
  <si>
    <t>Start</t>
  </si>
  <si>
    <t>End</t>
  </si>
  <si>
    <t>Elapsed</t>
  </si>
  <si>
    <t>Activity</t>
  </si>
  <si>
    <t>Instructional Time</t>
  </si>
  <si>
    <t>Non-Instructional</t>
  </si>
  <si>
    <t>Early Dismissal 1</t>
  </si>
  <si>
    <t>Early Dismissal 2</t>
  </si>
  <si>
    <t>Early Dismissal 3</t>
  </si>
  <si>
    <t>Extra Day 1</t>
  </si>
  <si>
    <t>Extra Day 2</t>
  </si>
  <si>
    <t>Extra Day 3</t>
  </si>
  <si>
    <t>Month</t>
  </si>
  <si>
    <t>Date</t>
  </si>
  <si>
    <t>Instructional</t>
  </si>
  <si>
    <t>Name:</t>
  </si>
  <si>
    <t>School:</t>
  </si>
  <si>
    <t>Scheduled</t>
  </si>
  <si>
    <t>Exceptions</t>
  </si>
  <si>
    <t>September</t>
  </si>
  <si>
    <t>October</t>
  </si>
  <si>
    <t>November</t>
  </si>
  <si>
    <t>December</t>
  </si>
  <si>
    <t>January</t>
  </si>
  <si>
    <t>February</t>
  </si>
  <si>
    <t>March</t>
  </si>
  <si>
    <t>April</t>
  </si>
  <si>
    <t>May</t>
  </si>
  <si>
    <t>June</t>
  </si>
  <si>
    <t>July</t>
  </si>
  <si>
    <t>Annual Totals</t>
  </si>
  <si>
    <t>Operational Days</t>
  </si>
  <si>
    <t>Instructional Days</t>
  </si>
  <si>
    <t>Early Dismissals</t>
  </si>
  <si>
    <t>Name</t>
  </si>
  <si>
    <t>Employer</t>
  </si>
  <si>
    <t>NonInstructional</t>
  </si>
  <si>
    <t>Total</t>
  </si>
  <si>
    <t>AuthCode</t>
  </si>
  <si>
    <t>AuthName</t>
  </si>
  <si>
    <t>SchCode</t>
  </si>
  <si>
    <t>SchName</t>
  </si>
  <si>
    <t>2125</t>
  </si>
  <si>
    <t>The Aspen View School Division</t>
  </si>
  <si>
    <t>2610</t>
  </si>
  <si>
    <t>Athabasca Colony School</t>
  </si>
  <si>
    <t>2604</t>
  </si>
  <si>
    <t>Boyle School</t>
  </si>
  <si>
    <t>1546</t>
  </si>
  <si>
    <t>Centre for Alternative and Virtual Education</t>
  </si>
  <si>
    <t>2161</t>
  </si>
  <si>
    <t>Deep Creek Colony School</t>
  </si>
  <si>
    <t>2601</t>
  </si>
  <si>
    <t>Edwin Parr Composite Community School</t>
  </si>
  <si>
    <t>2605</t>
  </si>
  <si>
    <t>Grassland Community School</t>
  </si>
  <si>
    <t>2722</t>
  </si>
  <si>
    <t>H. A. Kostash School</t>
  </si>
  <si>
    <t>2727</t>
  </si>
  <si>
    <t>Hutterite Colony School</t>
  </si>
  <si>
    <t>2602</t>
  </si>
  <si>
    <t>Landing Trail Intermediate School</t>
  </si>
  <si>
    <t>1938</t>
  </si>
  <si>
    <t>New Pine Creek Colony</t>
  </si>
  <si>
    <t>1920</t>
  </si>
  <si>
    <t>Night Wind, Kihew House School</t>
  </si>
  <si>
    <t>1921</t>
  </si>
  <si>
    <t>Night Wind, Maskwa House School</t>
  </si>
  <si>
    <t>2609</t>
  </si>
  <si>
    <t>Smith School</t>
  </si>
  <si>
    <t>2624</t>
  </si>
  <si>
    <t>Thorhild Central School</t>
  </si>
  <si>
    <t>2352</t>
  </si>
  <si>
    <t>Thunderbird Landing School</t>
  </si>
  <si>
    <t>1547</t>
  </si>
  <si>
    <t>Vilna Off-Campus Achievement Academy</t>
  </si>
  <si>
    <t>2724</t>
  </si>
  <si>
    <t>Vilna School</t>
  </si>
  <si>
    <t>2611</t>
  </si>
  <si>
    <t>Whispering Hills Primary School</t>
  </si>
  <si>
    <t>2285</t>
  </si>
  <si>
    <t xml:space="preserve">The Battle River School Division </t>
  </si>
  <si>
    <t>4502</t>
  </si>
  <si>
    <t>Bashaw School</t>
  </si>
  <si>
    <t>4504</t>
  </si>
  <si>
    <t>Battle River Alternative Centre For Education (BRACE)</t>
  </si>
  <si>
    <t>3505</t>
  </si>
  <si>
    <t>Battle River Home Schools</t>
  </si>
  <si>
    <t>0326</t>
  </si>
  <si>
    <t>Battle River Online</t>
  </si>
  <si>
    <t>1780</t>
  </si>
  <si>
    <t>Battle River Summer School</t>
  </si>
  <si>
    <t>4503</t>
  </si>
  <si>
    <t>Bawlf School</t>
  </si>
  <si>
    <t>3509</t>
  </si>
  <si>
    <t>C W Sears Elementary School</t>
  </si>
  <si>
    <t>4515</t>
  </si>
  <si>
    <t>Camrose Colony School</t>
  </si>
  <si>
    <t>4545</t>
  </si>
  <si>
    <t>Camrose Composite High School</t>
  </si>
  <si>
    <t>4710</t>
  </si>
  <si>
    <t>Central High School Sedgewick</t>
  </si>
  <si>
    <t>4541</t>
  </si>
  <si>
    <t>Charlie Killam School</t>
  </si>
  <si>
    <t>4542</t>
  </si>
  <si>
    <t>Chester Ronning School</t>
  </si>
  <si>
    <t>4702</t>
  </si>
  <si>
    <t>Daysland School</t>
  </si>
  <si>
    <t>4703</t>
  </si>
  <si>
    <t>Forestburg School</t>
  </si>
  <si>
    <t>1581</t>
  </si>
  <si>
    <t>Hartland Colony School</t>
  </si>
  <si>
    <t>4507</t>
  </si>
  <si>
    <t>Hay Lakes School</t>
  </si>
  <si>
    <t>3512</t>
  </si>
  <si>
    <t>Holden Colony School</t>
  </si>
  <si>
    <t>3503</t>
  </si>
  <si>
    <t>Iron Creek Colony School</t>
  </si>
  <si>
    <t>4543</t>
  </si>
  <si>
    <t>Jack Stuart School</t>
  </si>
  <si>
    <t>4707</t>
  </si>
  <si>
    <t>Killam Public School</t>
  </si>
  <si>
    <t>1628</t>
  </si>
  <si>
    <t>Lougheed Colony School</t>
  </si>
  <si>
    <t>4510</t>
  </si>
  <si>
    <t>New Norway School</t>
  </si>
  <si>
    <t>1553</t>
  </si>
  <si>
    <t>Northstar Outreach</t>
  </si>
  <si>
    <t>1563</t>
  </si>
  <si>
    <t>Rosalind Colony School</t>
  </si>
  <si>
    <t>4512</t>
  </si>
  <si>
    <t>Round Hill School</t>
  </si>
  <si>
    <t>3506</t>
  </si>
  <si>
    <t>Ryley School</t>
  </si>
  <si>
    <t>4513</t>
  </si>
  <si>
    <t>Sifton School</t>
  </si>
  <si>
    <t>4713</t>
  </si>
  <si>
    <t>Southbend Colony School</t>
  </si>
  <si>
    <t>4549</t>
  </si>
  <si>
    <t>Sparling School</t>
  </si>
  <si>
    <t>0369</t>
  </si>
  <si>
    <t>Tofield Colony School</t>
  </si>
  <si>
    <t>3508</t>
  </si>
  <si>
    <t>Tofield School</t>
  </si>
  <si>
    <t>3511</t>
  </si>
  <si>
    <t>Viking Colony School</t>
  </si>
  <si>
    <t>3510</t>
  </si>
  <si>
    <t>Viking School</t>
  </si>
  <si>
    <t>1953</t>
  </si>
  <si>
    <t>Wavy Lake Colony School</t>
  </si>
  <si>
    <t>2245</t>
  </si>
  <si>
    <t xml:space="preserve">The Black Gold School Division </t>
  </si>
  <si>
    <t>3000</t>
  </si>
  <si>
    <t>Black Gold Home-Based School</t>
  </si>
  <si>
    <t>1689</t>
  </si>
  <si>
    <t>Black Gold Outreach - Beaumont</t>
  </si>
  <si>
    <t>3238</t>
  </si>
  <si>
    <t>Black Gold Outreach School</t>
  </si>
  <si>
    <t>3210</t>
  </si>
  <si>
    <t>Caledonia Park School</t>
  </si>
  <si>
    <t>1279</t>
  </si>
  <si>
    <t>Calmar Elementary School</t>
  </si>
  <si>
    <t>3206</t>
  </si>
  <si>
    <t>Calmar Secondary School</t>
  </si>
  <si>
    <t>9943</t>
  </si>
  <si>
    <t>Covenant Christian School</t>
  </si>
  <si>
    <t>3214</t>
  </si>
  <si>
    <t>East Elementary School</t>
  </si>
  <si>
    <t>3224</t>
  </si>
  <si>
    <t>Ecole Beau Meadow School</t>
  </si>
  <si>
    <t>3201</t>
  </si>
  <si>
    <t>Ecole Bellevue School</t>
  </si>
  <si>
    <t>2150</t>
  </si>
  <si>
    <t>École Champs Vallée School</t>
  </si>
  <si>
    <t>3234</t>
  </si>
  <si>
    <t>3211</t>
  </si>
  <si>
    <t>Ecole Corinthia Park School</t>
  </si>
  <si>
    <t>1766</t>
  </si>
  <si>
    <t>Ecole Dansereau Meadows School</t>
  </si>
  <si>
    <t>3204</t>
  </si>
  <si>
    <t>Ecole J E Lapointe School</t>
  </si>
  <si>
    <t>3232</t>
  </si>
  <si>
    <t>École Leduc Estates School</t>
  </si>
  <si>
    <t>3213</t>
  </si>
  <si>
    <t>Ecole Leduc Junior High School</t>
  </si>
  <si>
    <t>3231</t>
  </si>
  <si>
    <t>Ecole Secondaire Beaumont Composite High School</t>
  </si>
  <si>
    <t>3235</t>
  </si>
  <si>
    <t>John Maland High School</t>
  </si>
  <si>
    <t>3212</t>
  </si>
  <si>
    <t>Leduc Composite High School</t>
  </si>
  <si>
    <t>3215</t>
  </si>
  <si>
    <t>Linsford Park School</t>
  </si>
  <si>
    <t>3220</t>
  </si>
  <si>
    <t>New Sarepta Community High School</t>
  </si>
  <si>
    <t>3221</t>
  </si>
  <si>
    <t>New Sarepta Elementary School</t>
  </si>
  <si>
    <t>3237</t>
  </si>
  <si>
    <t>Riverview Middle School</t>
  </si>
  <si>
    <t>3236</t>
  </si>
  <si>
    <t>Robina Baker Elementary School</t>
  </si>
  <si>
    <t>3223</t>
  </si>
  <si>
    <t>Thorsby Elementary School</t>
  </si>
  <si>
    <t>3222</t>
  </si>
  <si>
    <t>Thorsby Junior Senior High School</t>
  </si>
  <si>
    <t>3228</t>
  </si>
  <si>
    <t>Warburg Colony School</t>
  </si>
  <si>
    <t>3226</t>
  </si>
  <si>
    <t>Warburg School</t>
  </si>
  <si>
    <t>2065</t>
  </si>
  <si>
    <t>West Haven Public School</t>
  </si>
  <si>
    <t>3217</t>
  </si>
  <si>
    <t>Willow Park School</t>
  </si>
  <si>
    <t>1155</t>
  </si>
  <si>
    <t>The Buffalo Trail School Division</t>
  </si>
  <si>
    <t>4901</t>
  </si>
  <si>
    <t>Amisk School</t>
  </si>
  <si>
    <t>3809</t>
  </si>
  <si>
    <t>Autumn Leaf Colony School</t>
  </si>
  <si>
    <t>3616</t>
  </si>
  <si>
    <t>Creighton Colony School</t>
  </si>
  <si>
    <t>3602</t>
  </si>
  <si>
    <t>Delnorte School</t>
  </si>
  <si>
    <t>3803</t>
  </si>
  <si>
    <t>Dewberry School</t>
  </si>
  <si>
    <t>3902</t>
  </si>
  <si>
    <t>Dr. Folkins Community School</t>
  </si>
  <si>
    <t>3811</t>
  </si>
  <si>
    <t>E. H. Walter School</t>
  </si>
  <si>
    <t>3904</t>
  </si>
  <si>
    <t>Edgerton Public School</t>
  </si>
  <si>
    <t>4908</t>
  </si>
  <si>
    <t>Highland View Colony School</t>
  </si>
  <si>
    <t>3912</t>
  </si>
  <si>
    <t>Holt Colony School</t>
  </si>
  <si>
    <t>4905</t>
  </si>
  <si>
    <t>Hughenden Public School</t>
  </si>
  <si>
    <t>3906</t>
  </si>
  <si>
    <t>Irma School</t>
  </si>
  <si>
    <t>3815</t>
  </si>
  <si>
    <t>J. R. Robson School</t>
  </si>
  <si>
    <t>3805</t>
  </si>
  <si>
    <t>Kitscoty Elementary School</t>
  </si>
  <si>
    <t>3806</t>
  </si>
  <si>
    <t>Kitscoty Junior Senior High School</t>
  </si>
  <si>
    <t>3604</t>
  </si>
  <si>
    <t>Mannville School</t>
  </si>
  <si>
    <t>3808</t>
  </si>
  <si>
    <t>Marwayne Jubilee School</t>
  </si>
  <si>
    <t>3614</t>
  </si>
  <si>
    <t>Percy Lake Colony School</t>
  </si>
  <si>
    <t>4907</t>
  </si>
  <si>
    <t>Provost Public School</t>
  </si>
  <si>
    <t>3913</t>
  </si>
  <si>
    <t>Ribstone Colony School</t>
  </si>
  <si>
    <t>2093</t>
  </si>
  <si>
    <t>Rosewood Colony School</t>
  </si>
  <si>
    <t>3821</t>
  </si>
  <si>
    <t>South Ferriby Colony School</t>
  </si>
  <si>
    <t>3816</t>
  </si>
  <si>
    <t>Vermilion Elementary School</t>
  </si>
  <si>
    <t>0533</t>
  </si>
  <si>
    <t>Vermilion Outreach School</t>
  </si>
  <si>
    <t>3910</t>
  </si>
  <si>
    <t>Wainwright Elementary School</t>
  </si>
  <si>
    <t>3909</t>
  </si>
  <si>
    <t>Wainwright High School</t>
  </si>
  <si>
    <t>4010</t>
  </si>
  <si>
    <t>The Calgary Roman Catholic Separate School Division</t>
  </si>
  <si>
    <t>2175</t>
  </si>
  <si>
    <t>All Saints School</t>
  </si>
  <si>
    <t>2155</t>
  </si>
  <si>
    <t>Apostles of Jesus</t>
  </si>
  <si>
    <t>0333</t>
  </si>
  <si>
    <t>Ascension of Our Lord</t>
  </si>
  <si>
    <t>8905</t>
  </si>
  <si>
    <t>Bishop Carroll High School</t>
  </si>
  <si>
    <t>8702</t>
  </si>
  <si>
    <t>Bishop Kidd School</t>
  </si>
  <si>
    <t>8907</t>
  </si>
  <si>
    <t>Bishop McNally High School</t>
  </si>
  <si>
    <t>0581</t>
  </si>
  <si>
    <t>Bishop O'Byrne High School</t>
  </si>
  <si>
    <t>2195</t>
  </si>
  <si>
    <t>Blessed Marie-Rose</t>
  </si>
  <si>
    <t>1484</t>
  </si>
  <si>
    <t>Christ the King Catholic School</t>
  </si>
  <si>
    <t>8501</t>
  </si>
  <si>
    <t>Corpus Christi School</t>
  </si>
  <si>
    <t>2189</t>
  </si>
  <si>
    <t>Divine Mercy School</t>
  </si>
  <si>
    <t>8727</t>
  </si>
  <si>
    <t>Don Bosco School</t>
  </si>
  <si>
    <t>8524</t>
  </si>
  <si>
    <t>Ecole St. Pius X School</t>
  </si>
  <si>
    <t>8551</t>
  </si>
  <si>
    <t>Father Doucet School</t>
  </si>
  <si>
    <t>8729</t>
  </si>
  <si>
    <t>Father James Whelihan</t>
  </si>
  <si>
    <t>8903</t>
  </si>
  <si>
    <t>Father Lacombe School</t>
  </si>
  <si>
    <t>8730</t>
  </si>
  <si>
    <t>Father Scollen School</t>
  </si>
  <si>
    <t>1525</t>
  </si>
  <si>
    <t>Fresh Start Outreach Program</t>
  </si>
  <si>
    <t>1462</t>
  </si>
  <si>
    <t>Good Shepherd School</t>
  </si>
  <si>
    <t>2156</t>
  </si>
  <si>
    <t>Guardian Angel School</t>
  </si>
  <si>
    <t>0389</t>
  </si>
  <si>
    <t>Holy Angels School</t>
  </si>
  <si>
    <t>2160</t>
  </si>
  <si>
    <t>Holy Child School</t>
  </si>
  <si>
    <t>8704</t>
  </si>
  <si>
    <t>Holy Cross Elementary Junior High School</t>
  </si>
  <si>
    <t>8503</t>
  </si>
  <si>
    <t>Holy Family School</t>
  </si>
  <si>
    <t>8504</t>
  </si>
  <si>
    <t>Holy Name (Bilingual) School</t>
  </si>
  <si>
    <t>2438</t>
  </si>
  <si>
    <t>Holy Spirit School</t>
  </si>
  <si>
    <t>8506</t>
  </si>
  <si>
    <t>Holy Trinity School</t>
  </si>
  <si>
    <t>8558</t>
  </si>
  <si>
    <t>John Costello Catholic School</t>
  </si>
  <si>
    <t>1486</t>
  </si>
  <si>
    <t>Light of Christ Catholic School</t>
  </si>
  <si>
    <t>8728</t>
  </si>
  <si>
    <t>Madeleine D' Houet Bilingual School</t>
  </si>
  <si>
    <t>8557</t>
  </si>
  <si>
    <t>Monsignor A. J. Hetherington Elementary School</t>
  </si>
  <si>
    <t>8555</t>
  </si>
  <si>
    <t>Monsignor E. L. Doyle Elementary School</t>
  </si>
  <si>
    <t>0589</t>
  </si>
  <si>
    <t>Monsignor J. J. O'Brien</t>
  </si>
  <si>
    <t>0313</t>
  </si>
  <si>
    <t>Monsignor J. S. Smith School</t>
  </si>
  <si>
    <t>8554</t>
  </si>
  <si>
    <t>Monsignor Neville Anderson School</t>
  </si>
  <si>
    <t>8553</t>
  </si>
  <si>
    <t>Mother Mary Greene School</t>
  </si>
  <si>
    <t>1275</t>
  </si>
  <si>
    <t>Notre Dame High School</t>
  </si>
  <si>
    <t>1226</t>
  </si>
  <si>
    <t>Our Lady of Fatima</t>
  </si>
  <si>
    <t>2083</t>
  </si>
  <si>
    <t>Our Lady of Grace School</t>
  </si>
  <si>
    <t>0598</t>
  </si>
  <si>
    <t>Our Lady of Lourdes</t>
  </si>
  <si>
    <t>8732</t>
  </si>
  <si>
    <t>Our Lady of Peace Elementary Junior High School</t>
  </si>
  <si>
    <t>8701</t>
  </si>
  <si>
    <t>Our Lady of the Assumption School</t>
  </si>
  <si>
    <t>1485</t>
  </si>
  <si>
    <t>Our Lady of the Evergreens Catholic School</t>
  </si>
  <si>
    <t>8901</t>
  </si>
  <si>
    <t>Our Lady of the Rockies High School</t>
  </si>
  <si>
    <t>2081</t>
  </si>
  <si>
    <t>Our Lady of the Rosary School</t>
  </si>
  <si>
    <t>1373</t>
  </si>
  <si>
    <t>Our Lady of Wisdom</t>
  </si>
  <si>
    <t>5270</t>
  </si>
  <si>
    <t>2080</t>
  </si>
  <si>
    <t>Prince of Peace School</t>
  </si>
  <si>
    <t>8705</t>
  </si>
  <si>
    <t>Sacred Heart Elementary School</t>
  </si>
  <si>
    <t>1554</t>
  </si>
  <si>
    <t>Sanctuary Outreach</t>
  </si>
  <si>
    <t>1336</t>
  </si>
  <si>
    <t>St. Albert the Great</t>
  </si>
  <si>
    <t>8706</t>
  </si>
  <si>
    <t>St. Alphonsus Elementary Junior High School</t>
  </si>
  <si>
    <t>0390</t>
  </si>
  <si>
    <t>St. Ambrose School</t>
  </si>
  <si>
    <t>8508</t>
  </si>
  <si>
    <t>St. Andrew School</t>
  </si>
  <si>
    <t>8906</t>
  </si>
  <si>
    <t>St. Anne Academic Centre</t>
  </si>
  <si>
    <t>8515</t>
  </si>
  <si>
    <t>St. Anthony</t>
  </si>
  <si>
    <t>8708</t>
  </si>
  <si>
    <t>St. Augustine Elementary Junior High School</t>
  </si>
  <si>
    <t>1337</t>
  </si>
  <si>
    <t>St. Basil Elementary/Junior High School</t>
  </si>
  <si>
    <t>8545</t>
  </si>
  <si>
    <t>St. Bede Elementary School</t>
  </si>
  <si>
    <t>8511</t>
  </si>
  <si>
    <t>St. Benedict School</t>
  </si>
  <si>
    <t>8709</t>
  </si>
  <si>
    <t>St. Bernadette School</t>
  </si>
  <si>
    <t>8721</t>
  </si>
  <si>
    <t>St. Bonaventure School</t>
  </si>
  <si>
    <t>8532</t>
  </si>
  <si>
    <t>St. Boniface Elementary School</t>
  </si>
  <si>
    <t>1119</t>
  </si>
  <si>
    <t>St. Brigid</t>
  </si>
  <si>
    <t>8533</t>
  </si>
  <si>
    <t>St. Catherine Elementary School</t>
  </si>
  <si>
    <t>8513</t>
  </si>
  <si>
    <t>St. Cecilia (Bilingual) Elementary School</t>
  </si>
  <si>
    <t>1118</t>
  </si>
  <si>
    <t>St. Clare</t>
  </si>
  <si>
    <t>8723</t>
  </si>
  <si>
    <t>St. Cyril School</t>
  </si>
  <si>
    <t>8550</t>
  </si>
  <si>
    <t>St. Damien School</t>
  </si>
  <si>
    <t>8531</t>
  </si>
  <si>
    <t>St. Dominic School</t>
  </si>
  <si>
    <t>0588</t>
  </si>
  <si>
    <t>St. Elizabeth Seton</t>
  </si>
  <si>
    <t>8902</t>
  </si>
  <si>
    <t>St. Francis High School</t>
  </si>
  <si>
    <t>1029</t>
  </si>
  <si>
    <t>St. Gabriel the Archangel</t>
  </si>
  <si>
    <t>2328</t>
  </si>
  <si>
    <t>St. Gianna School</t>
  </si>
  <si>
    <t>8710</t>
  </si>
  <si>
    <t>St. Gregory School</t>
  </si>
  <si>
    <t>8711</t>
  </si>
  <si>
    <t>St. Helena School</t>
  </si>
  <si>
    <t>8534</t>
  </si>
  <si>
    <t>St. Henry Elementary School</t>
  </si>
  <si>
    <t>8502</t>
  </si>
  <si>
    <t>St. Hubert Elementary School</t>
  </si>
  <si>
    <t>1680</t>
  </si>
  <si>
    <t>St. Isabella School</t>
  </si>
  <si>
    <t>2344</t>
  </si>
  <si>
    <t>St. Isidore Online School</t>
  </si>
  <si>
    <t>8712</t>
  </si>
  <si>
    <t>St. James Elementary Junior High School</t>
  </si>
  <si>
    <t>8703</t>
  </si>
  <si>
    <t>St. Jean Brebeuf School</t>
  </si>
  <si>
    <t>1340</t>
  </si>
  <si>
    <t>St. Jerome Elementary School</t>
  </si>
  <si>
    <t>1338</t>
  </si>
  <si>
    <t>St. Joan of Arc Elementary/Junior High School</t>
  </si>
  <si>
    <t>8731</t>
  </si>
  <si>
    <t>St. John Henry Newman School</t>
  </si>
  <si>
    <t>8549</t>
  </si>
  <si>
    <t>St. John Paul II School</t>
  </si>
  <si>
    <t>8726</t>
  </si>
  <si>
    <t>St. John XXIII School</t>
  </si>
  <si>
    <t>8713</t>
  </si>
  <si>
    <t>St. Joseph Elementary Junior High School</t>
  </si>
  <si>
    <t>2355</t>
  </si>
  <si>
    <t>St. Josephine Bakhita School</t>
  </si>
  <si>
    <t>8546</t>
  </si>
  <si>
    <t>St. Jude School</t>
  </si>
  <si>
    <t>8552</t>
  </si>
  <si>
    <t>St. Kateri Tekakwitha School</t>
  </si>
  <si>
    <t>8521</t>
  </si>
  <si>
    <t>St. Luke Bilingual Elementary School</t>
  </si>
  <si>
    <t>8714</t>
  </si>
  <si>
    <t>St. Margaret School</t>
  </si>
  <si>
    <t>2082</t>
  </si>
  <si>
    <t>St. Marguerite School</t>
  </si>
  <si>
    <t>8556</t>
  </si>
  <si>
    <t>St. Maria Goretti Elementary School</t>
  </si>
  <si>
    <t>8536</t>
  </si>
  <si>
    <t>St. Mark Elementary School</t>
  </si>
  <si>
    <t>8725</t>
  </si>
  <si>
    <t>St. Martha School</t>
  </si>
  <si>
    <t>0346</t>
  </si>
  <si>
    <t>St. Martin De Porres High School</t>
  </si>
  <si>
    <t>8904</t>
  </si>
  <si>
    <t>St. Mary's High School</t>
  </si>
  <si>
    <t>8716</t>
  </si>
  <si>
    <t>St. Matthew School</t>
  </si>
  <si>
    <t>8717</t>
  </si>
  <si>
    <t>St. Michael School</t>
  </si>
  <si>
    <t>8530</t>
  </si>
  <si>
    <t>St. Monica School</t>
  </si>
  <si>
    <t>8507</t>
  </si>
  <si>
    <t>St. Patrick School</t>
  </si>
  <si>
    <t>8543</t>
  </si>
  <si>
    <t>St. Peter Elementary School</t>
  </si>
  <si>
    <t>8724</t>
  </si>
  <si>
    <t>St. Philip School</t>
  </si>
  <si>
    <t>8547</t>
  </si>
  <si>
    <t>St. Rita School</t>
  </si>
  <si>
    <t>8722</t>
  </si>
  <si>
    <t>St. Rose of Lima Junior High School</t>
  </si>
  <si>
    <t>8548</t>
  </si>
  <si>
    <t>St. Rupert School</t>
  </si>
  <si>
    <t>1339</t>
  </si>
  <si>
    <t>St. Sebastian Elementary School</t>
  </si>
  <si>
    <t>8719</t>
  </si>
  <si>
    <t>St. Stephen School</t>
  </si>
  <si>
    <t>8537</t>
  </si>
  <si>
    <t>St. Sylvester School</t>
  </si>
  <si>
    <t>8542</t>
  </si>
  <si>
    <t>St. Teresa of Calcutta School</t>
  </si>
  <si>
    <t>8527</t>
  </si>
  <si>
    <t>St. Thomas Aquinas School</t>
  </si>
  <si>
    <t>8544</t>
  </si>
  <si>
    <t>St. Thomas More School</t>
  </si>
  <si>
    <t>1225</t>
  </si>
  <si>
    <t>St. Timothy</t>
  </si>
  <si>
    <t>2259</t>
  </si>
  <si>
    <t>St. Veronica School</t>
  </si>
  <si>
    <t>8528</t>
  </si>
  <si>
    <t>St. Vincent De Paul Elementary Junior High School</t>
  </si>
  <si>
    <t>8541</t>
  </si>
  <si>
    <t>St. Wilfrid Elementary School</t>
  </si>
  <si>
    <t>8529</t>
  </si>
  <si>
    <t>St. William School</t>
  </si>
  <si>
    <t>3030</t>
  </si>
  <si>
    <t>The Calgary School Division</t>
  </si>
  <si>
    <t>9638</t>
  </si>
  <si>
    <t>A. E. Cross School</t>
  </si>
  <si>
    <t>9573</t>
  </si>
  <si>
    <t>AADAC Youth Services</t>
  </si>
  <si>
    <t>9376</t>
  </si>
  <si>
    <t>Abbeydale School</t>
  </si>
  <si>
    <t>9300</t>
  </si>
  <si>
    <t>Acadia School</t>
  </si>
  <si>
    <t>1749</t>
  </si>
  <si>
    <t>Adolescent Day Treatment Program</t>
  </si>
  <si>
    <t>9512</t>
  </si>
  <si>
    <t>Adolescent Mental Health Services</t>
  </si>
  <si>
    <t>9101</t>
  </si>
  <si>
    <t>Alex Ferguson School</t>
  </si>
  <si>
    <t>9261</t>
  </si>
  <si>
    <t>Alex Munro School</t>
  </si>
  <si>
    <t>9109</t>
  </si>
  <si>
    <t>Altadore School</t>
  </si>
  <si>
    <t>9863</t>
  </si>
  <si>
    <t>Alternative High School</t>
  </si>
  <si>
    <t>9336</t>
  </si>
  <si>
    <t>Andrew Sibbald School</t>
  </si>
  <si>
    <t>9377</t>
  </si>
  <si>
    <t>Annie Foote School</t>
  </si>
  <si>
    <t>9686</t>
  </si>
  <si>
    <t>Annie Gale School</t>
  </si>
  <si>
    <t>1330</t>
  </si>
  <si>
    <t>Arbour Lake Middle School</t>
  </si>
  <si>
    <t>2085</t>
  </si>
  <si>
    <t>Auburn Bay School</t>
  </si>
  <si>
    <t>9601</t>
  </si>
  <si>
    <t>Balmoral School</t>
  </si>
  <si>
    <t>9202</t>
  </si>
  <si>
    <t>Banff Trail School</t>
  </si>
  <si>
    <t>9369</t>
  </si>
  <si>
    <t>Banting and Best School</t>
  </si>
  <si>
    <t>0537</t>
  </si>
  <si>
    <t>Battalion Park School</t>
  </si>
  <si>
    <t>2427</t>
  </si>
  <si>
    <t>Bayside School</t>
  </si>
  <si>
    <t>9372</t>
  </si>
  <si>
    <t>Beddington Heights School</t>
  </si>
  <si>
    <t>9203</t>
  </si>
  <si>
    <t>Belfast School</t>
  </si>
  <si>
    <t>9110</t>
  </si>
  <si>
    <t>Belvedere Parkway School</t>
  </si>
  <si>
    <t>9645</t>
  </si>
  <si>
    <t>Bishop Pinkham School</t>
  </si>
  <si>
    <t>9623</t>
  </si>
  <si>
    <t>Bob Edwards School</t>
  </si>
  <si>
    <t>9111</t>
  </si>
  <si>
    <t>Bowcroft School</t>
  </si>
  <si>
    <t>9847</t>
  </si>
  <si>
    <t>Bowness High School</t>
  </si>
  <si>
    <t>9305</t>
  </si>
  <si>
    <t>Braeside School</t>
  </si>
  <si>
    <t>9621</t>
  </si>
  <si>
    <t>Branton School</t>
  </si>
  <si>
    <t>9204</t>
  </si>
  <si>
    <t>Brentwood School</t>
  </si>
  <si>
    <t>9205</t>
  </si>
  <si>
    <t>Briar Hill School</t>
  </si>
  <si>
    <t>1498</t>
  </si>
  <si>
    <t>Bridlewood School</t>
  </si>
  <si>
    <t>9207</t>
  </si>
  <si>
    <t>Buchanan School</t>
  </si>
  <si>
    <t>2029</t>
  </si>
  <si>
    <t>Buffalo Rubbing Stone School</t>
  </si>
  <si>
    <t>9425</t>
  </si>
  <si>
    <t>Calgary Home Education</t>
  </si>
  <si>
    <t>9208</t>
  </si>
  <si>
    <t>Cambrian Heights School</t>
  </si>
  <si>
    <t>9355</t>
  </si>
  <si>
    <t>Canyon Meadows School</t>
  </si>
  <si>
    <t>9209</t>
  </si>
  <si>
    <t>Capitol Hill School</t>
  </si>
  <si>
    <t>9353</t>
  </si>
  <si>
    <t>Cappy Smart School</t>
  </si>
  <si>
    <t>9210</t>
  </si>
  <si>
    <t>Captain John Palliser School</t>
  </si>
  <si>
    <t>1676</t>
  </si>
  <si>
    <t>Captain Nichola Goddard School</t>
  </si>
  <si>
    <t>9232</t>
  </si>
  <si>
    <t>Catherine Nichols Gunn School</t>
  </si>
  <si>
    <t>1064</t>
  </si>
  <si>
    <t>CBe-learn</t>
  </si>
  <si>
    <t>9373</t>
  </si>
  <si>
    <t>Cecil Swanson School</t>
  </si>
  <si>
    <t>9338</t>
  </si>
  <si>
    <t>Cedarbrae School</t>
  </si>
  <si>
    <t>1224</t>
  </si>
  <si>
    <t>Centennial High School</t>
  </si>
  <si>
    <t>9823</t>
  </si>
  <si>
    <t>Central Memorial High School</t>
  </si>
  <si>
    <t>1331</t>
  </si>
  <si>
    <t>Chaparral School</t>
  </si>
  <si>
    <t>9361</t>
  </si>
  <si>
    <t>Chief Justice Milvain School</t>
  </si>
  <si>
    <t>9014</t>
  </si>
  <si>
    <t>Children's Village School</t>
  </si>
  <si>
    <t>9817</t>
  </si>
  <si>
    <t>Chinook Learning Services</t>
  </si>
  <si>
    <t>9306</t>
  </si>
  <si>
    <t>Chinook Park School</t>
  </si>
  <si>
    <t>9339</t>
  </si>
  <si>
    <t>Chris Akkerman School</t>
  </si>
  <si>
    <t>9037</t>
  </si>
  <si>
    <t>Christine Meikle School</t>
  </si>
  <si>
    <t>1332</t>
  </si>
  <si>
    <t>Citadel Park School</t>
  </si>
  <si>
    <t>9682</t>
  </si>
  <si>
    <t>Clarence Sansom School</t>
  </si>
  <si>
    <t>2452</t>
  </si>
  <si>
    <t>CLS Alternative Site</t>
  </si>
  <si>
    <t>2246</t>
  </si>
  <si>
    <t>CLS James Fowler Writing Centre</t>
  </si>
  <si>
    <t>CLS Lord Beaverbrook Writing Centre</t>
  </si>
  <si>
    <t>2247</t>
  </si>
  <si>
    <t>CLS Lord Shaughnessy Writing Centre</t>
  </si>
  <si>
    <t>9212</t>
  </si>
  <si>
    <t>Collingwood School</t>
  </si>
  <si>
    <t>9622</t>
  </si>
  <si>
    <t>Colonel Irvine School</t>
  </si>
  <si>
    <t>9348</t>
  </si>
  <si>
    <t>Colonel J. Fred Scott School</t>
  </si>
  <si>
    <t>9620</t>
  </si>
  <si>
    <t>Colonel Macleod School</t>
  </si>
  <si>
    <t>1053</t>
  </si>
  <si>
    <t>Colonel Sanders School</t>
  </si>
  <si>
    <t>9602</t>
  </si>
  <si>
    <t>Colonel Walker School</t>
  </si>
  <si>
    <t>9114</t>
  </si>
  <si>
    <t>Connaught School</t>
  </si>
  <si>
    <t>2086</t>
  </si>
  <si>
    <t>Copperfield School</t>
  </si>
  <si>
    <t>1038</t>
  </si>
  <si>
    <t>Coventry Hills School</t>
  </si>
  <si>
    <t>1499</t>
  </si>
  <si>
    <t>Cranston School</t>
  </si>
  <si>
    <t>9815</t>
  </si>
  <si>
    <t>Crescent Heights High School</t>
  </si>
  <si>
    <t>0536</t>
  </si>
  <si>
    <t>Crossing Park School</t>
  </si>
  <si>
    <t>9240</t>
  </si>
  <si>
    <t>Dalhousie School</t>
  </si>
  <si>
    <t>9641</t>
  </si>
  <si>
    <t>David Thompson School</t>
  </si>
  <si>
    <t>9265</t>
  </si>
  <si>
    <t>Deer Run School</t>
  </si>
  <si>
    <t>9868</t>
  </si>
  <si>
    <t>Discovering Choices</t>
  </si>
  <si>
    <t>1161</t>
  </si>
  <si>
    <t>Discovering Choices II</t>
  </si>
  <si>
    <t>9347</t>
  </si>
  <si>
    <t>Douglas Harkness School</t>
  </si>
  <si>
    <t>0596</t>
  </si>
  <si>
    <t>Douglasdale School</t>
  </si>
  <si>
    <t>9858</t>
  </si>
  <si>
    <t>Dr. E. P. Scarlett High School</t>
  </si>
  <si>
    <t>9214</t>
  </si>
  <si>
    <t>Dr. E. W. Coffin School</t>
  </si>
  <si>
    <t>2280</t>
  </si>
  <si>
    <t>Dr. Freda Miller School</t>
  </si>
  <si>
    <t>2084</t>
  </si>
  <si>
    <t>Dr. George Stanley School</t>
  </si>
  <si>
    <t>9350</t>
  </si>
  <si>
    <t>Dr. Gladys McKelvie Egbert School</t>
  </si>
  <si>
    <t>9346</t>
  </si>
  <si>
    <t>Dr. Gordon Higgins School</t>
  </si>
  <si>
    <t>9886</t>
  </si>
  <si>
    <t>Dr. Gordon Townsend School</t>
  </si>
  <si>
    <t>9242</t>
  </si>
  <si>
    <t>Dr. J. K. Mulloy School</t>
  </si>
  <si>
    <t>2070</t>
  </si>
  <si>
    <t>Dr. Martha Cohen School</t>
  </si>
  <si>
    <t>9630</t>
  </si>
  <si>
    <t>Dr. Oakley School</t>
  </si>
  <si>
    <t>2054</t>
  </si>
  <si>
    <t>Dr. Roberta Bondar School</t>
  </si>
  <si>
    <t>9118</t>
  </si>
  <si>
    <t>Earl Grey School</t>
  </si>
  <si>
    <t>9379</t>
  </si>
  <si>
    <t>Edgemont School</t>
  </si>
  <si>
    <t>9119</t>
  </si>
  <si>
    <t>Elbow Park School</t>
  </si>
  <si>
    <t>9627</t>
  </si>
  <si>
    <t>Elboya School</t>
  </si>
  <si>
    <t>9036</t>
  </si>
  <si>
    <t>Emily Follensbee School</t>
  </si>
  <si>
    <t>2031</t>
  </si>
  <si>
    <t>Eric Harvie School</t>
  </si>
  <si>
    <t>9269</t>
  </si>
  <si>
    <t>Erin Woods School</t>
  </si>
  <si>
    <t>9826</t>
  </si>
  <si>
    <t>Ernest Manning High School</t>
  </si>
  <si>
    <t>9644</t>
  </si>
  <si>
    <t>Ernest Morrow School</t>
  </si>
  <si>
    <t>9310</t>
  </si>
  <si>
    <t>Ethel M. Johnson School</t>
  </si>
  <si>
    <t>9311</t>
  </si>
  <si>
    <t>Eugene Coste School</t>
  </si>
  <si>
    <t>1500</t>
  </si>
  <si>
    <t>Evergreen School</t>
  </si>
  <si>
    <t>9651</t>
  </si>
  <si>
    <t>F. E. Osborne School</t>
  </si>
  <si>
    <t>9633</t>
  </si>
  <si>
    <t>Fairview School</t>
  </si>
  <si>
    <t>9375</t>
  </si>
  <si>
    <t>Falconridge School</t>
  </si>
  <si>
    <t>9384</t>
  </si>
  <si>
    <t>Fish Creek School</t>
  </si>
  <si>
    <t>9813</t>
  </si>
  <si>
    <t>Forest Lawn High School</t>
  </si>
  <si>
    <t>9351</t>
  </si>
  <si>
    <t>G. W. Skene School</t>
  </si>
  <si>
    <t>9635</t>
  </si>
  <si>
    <t>Georges P. Vanier School</t>
  </si>
  <si>
    <t>9121</t>
  </si>
  <si>
    <t>Glamorgan School</t>
  </si>
  <si>
    <t>9122</t>
  </si>
  <si>
    <t>Glenbrook School</t>
  </si>
  <si>
    <t>9143</t>
  </si>
  <si>
    <t>Glendale School</t>
  </si>
  <si>
    <t>9123</t>
  </si>
  <si>
    <t>Glenmeadows School</t>
  </si>
  <si>
    <t>9378</t>
  </si>
  <si>
    <t>Grant MacEwan School</t>
  </si>
  <si>
    <t>2147</t>
  </si>
  <si>
    <t>Griffith Woods School</t>
  </si>
  <si>
    <t>9343</t>
  </si>
  <si>
    <t>Guy Weadick School</t>
  </si>
  <si>
    <t>9660</t>
  </si>
  <si>
    <t>H. D. Cartwright School</t>
  </si>
  <si>
    <t>9643</t>
  </si>
  <si>
    <t>Harold Panabaker School</t>
  </si>
  <si>
    <t>9362</t>
  </si>
  <si>
    <t>Haultain Memorial School</t>
  </si>
  <si>
    <t>9273</t>
  </si>
  <si>
    <t>Hawkwood School</t>
  </si>
  <si>
    <t>9316</t>
  </si>
  <si>
    <t>Haysboro School</t>
  </si>
  <si>
    <t>9836</t>
  </si>
  <si>
    <t>Henry Wise Wood High School</t>
  </si>
  <si>
    <t>0535</t>
  </si>
  <si>
    <t>Hidden Valley School</t>
  </si>
  <si>
    <t>9217</t>
  </si>
  <si>
    <t>Highwood School</t>
  </si>
  <si>
    <t>9218</t>
  </si>
  <si>
    <t>Hillhurst School</t>
  </si>
  <si>
    <t>2056</t>
  </si>
  <si>
    <t>Hugh A. Bennett School</t>
  </si>
  <si>
    <t>9219</t>
  </si>
  <si>
    <t>Huntington Hills School</t>
  </si>
  <si>
    <t>9613</t>
  </si>
  <si>
    <t>Ian Bazalgette School</t>
  </si>
  <si>
    <t>9856</t>
  </si>
  <si>
    <t>Jack James High School</t>
  </si>
  <si>
    <t>9825</t>
  </si>
  <si>
    <t>James Fowler High School</t>
  </si>
  <si>
    <t>9364</t>
  </si>
  <si>
    <t>James Short Memorial School</t>
  </si>
  <si>
    <t>9270</t>
  </si>
  <si>
    <t>Janet Johnstone School</t>
  </si>
  <si>
    <t>9103</t>
  </si>
  <si>
    <t>Jennie Elliott School</t>
  </si>
  <si>
    <t>2180</t>
  </si>
  <si>
    <t>Joane Cardinal-Schubert High School</t>
  </si>
  <si>
    <t>9860</t>
  </si>
  <si>
    <t>John G. Diefenbaker High School</t>
  </si>
  <si>
    <t>9603</t>
  </si>
  <si>
    <t>John Ware School</t>
  </si>
  <si>
    <t>1125</t>
  </si>
  <si>
    <t>Juno Beach Academy of Canadian Studies</t>
  </si>
  <si>
    <t>9318</t>
  </si>
  <si>
    <t>Keeler School</t>
  </si>
  <si>
    <t>2088</t>
  </si>
  <si>
    <t>Kenneth D. Taylor School</t>
  </si>
  <si>
    <t>9104</t>
  </si>
  <si>
    <t>Killarney School</t>
  </si>
  <si>
    <t>9608</t>
  </si>
  <si>
    <t>King George School</t>
  </si>
  <si>
    <t>9334</t>
  </si>
  <si>
    <t>Lake Bonavista School</t>
  </si>
  <si>
    <t>2426</t>
  </si>
  <si>
    <t>Lakeshore School</t>
  </si>
  <si>
    <t>9320</t>
  </si>
  <si>
    <t>Le Roi Daniels School</t>
  </si>
  <si>
    <t>9865</t>
  </si>
  <si>
    <t>Lester B. Pearson High School</t>
  </si>
  <si>
    <t>9850</t>
  </si>
  <si>
    <t>Lord Beaverbrook High School</t>
  </si>
  <si>
    <t>9625</t>
  </si>
  <si>
    <t>Louis Riel School</t>
  </si>
  <si>
    <t>9626</t>
  </si>
  <si>
    <t>Louise Dean School</t>
  </si>
  <si>
    <t>2425</t>
  </si>
  <si>
    <t xml:space="preserve">Mahogany School </t>
  </si>
  <si>
    <t>2145</t>
  </si>
  <si>
    <t>Manmeet Singh Bhullar School</t>
  </si>
  <si>
    <t>9321</t>
  </si>
  <si>
    <t>Maple Ridge School</t>
  </si>
  <si>
    <t>9241</t>
  </si>
  <si>
    <t>Marion Carson School</t>
  </si>
  <si>
    <t>9322</t>
  </si>
  <si>
    <t>Marlborough School</t>
  </si>
  <si>
    <t>2069</t>
  </si>
  <si>
    <t>Marshall Springs School</t>
  </si>
  <si>
    <t>9223</t>
  </si>
  <si>
    <t>Mayland Heights School</t>
  </si>
  <si>
    <t>2055</t>
  </si>
  <si>
    <t>McKenzie Highlands School</t>
  </si>
  <si>
    <t>9385</t>
  </si>
  <si>
    <t>McKenzie Lake School</t>
  </si>
  <si>
    <t>1463</t>
  </si>
  <si>
    <t>McKenzie Towne School</t>
  </si>
  <si>
    <t>9363</t>
  </si>
  <si>
    <t>Midnapore School</t>
  </si>
  <si>
    <t>0348</t>
  </si>
  <si>
    <t>Midsun School</t>
  </si>
  <si>
    <t>0538</t>
  </si>
  <si>
    <t>Monterey Park School</t>
  </si>
  <si>
    <t>9639</t>
  </si>
  <si>
    <t>Mount Royal School</t>
  </si>
  <si>
    <t>9224</t>
  </si>
  <si>
    <t>Mount View School</t>
  </si>
  <si>
    <t>1333</t>
  </si>
  <si>
    <t>Mountain Park School</t>
  </si>
  <si>
    <t>9333</t>
  </si>
  <si>
    <t>Nellie McClung School</t>
  </si>
  <si>
    <t>1989</t>
  </si>
  <si>
    <t>Nelson Mandela High School</t>
  </si>
  <si>
    <t>2072</t>
  </si>
  <si>
    <t>New Brighton School</t>
  </si>
  <si>
    <t>9654</t>
  </si>
  <si>
    <t>Nickle School</t>
  </si>
  <si>
    <t>2123</t>
  </si>
  <si>
    <t>Niitsitapi Learning Centre</t>
  </si>
  <si>
    <t>2475</t>
  </si>
  <si>
    <t>9225</t>
  </si>
  <si>
    <t>North Haven School</t>
  </si>
  <si>
    <t>2282</t>
  </si>
  <si>
    <t>Northern Lights School</t>
  </si>
  <si>
    <t>1674</t>
  </si>
  <si>
    <t>Nose Creek School</t>
  </si>
  <si>
    <t>9271</t>
  </si>
  <si>
    <t>O. S. Geiger School</t>
  </si>
  <si>
    <t>9382</t>
  </si>
  <si>
    <t>Olympic Heights School</t>
  </si>
  <si>
    <t>1452</t>
  </si>
  <si>
    <t>Panorama Hills School</t>
  </si>
  <si>
    <t>9327</t>
  </si>
  <si>
    <t>Patrick Airlie School</t>
  </si>
  <si>
    <t>9356</t>
  </si>
  <si>
    <t>Penbrooke Meadows School</t>
  </si>
  <si>
    <t>2068</t>
  </si>
  <si>
    <t>Peter Lougheed School</t>
  </si>
  <si>
    <t>1054</t>
  </si>
  <si>
    <t>Piitoayis Family School</t>
  </si>
  <si>
    <t>9360</t>
  </si>
  <si>
    <t>Pineridge School</t>
  </si>
  <si>
    <t>2428</t>
  </si>
  <si>
    <t>Prairie Sky School</t>
  </si>
  <si>
    <t>9341</t>
  </si>
  <si>
    <t>Prince of Wales School</t>
  </si>
  <si>
    <t>9599</t>
  </si>
  <si>
    <t>Project Trust</t>
  </si>
  <si>
    <t>9806</t>
  </si>
  <si>
    <t>Queen Elizabeth High School</t>
  </si>
  <si>
    <t>9227</t>
  </si>
  <si>
    <t>Queen Elizabeth School</t>
  </si>
  <si>
    <t>9653</t>
  </si>
  <si>
    <t>R. T. Alderman School</t>
  </si>
  <si>
    <t>1334</t>
  </si>
  <si>
    <t>Radisson Park School</t>
  </si>
  <si>
    <t>9130</t>
  </si>
  <si>
    <t>Ramsay School</t>
  </si>
  <si>
    <t>9374</t>
  </si>
  <si>
    <t>Ranchlands School</t>
  </si>
  <si>
    <t>9100</t>
  </si>
  <si>
    <t>Richmond School</t>
  </si>
  <si>
    <t>9610</t>
  </si>
  <si>
    <t>Rideau Park School</t>
  </si>
  <si>
    <t>9386</t>
  </si>
  <si>
    <t>Riverbend School</t>
  </si>
  <si>
    <t>9609</t>
  </si>
  <si>
    <t>Riverside School</t>
  </si>
  <si>
    <t>1679</t>
  </si>
  <si>
    <t>Robert Thirsk High School</t>
  </si>
  <si>
    <t>9655</t>
  </si>
  <si>
    <t>Robert Warren School</t>
  </si>
  <si>
    <t>9250</t>
  </si>
  <si>
    <t>Roland Michener School</t>
  </si>
  <si>
    <t>2146</t>
  </si>
  <si>
    <t>Ron Southern School</t>
  </si>
  <si>
    <t>9618</t>
  </si>
  <si>
    <t>Rosedale School</t>
  </si>
  <si>
    <t>9231</t>
  </si>
  <si>
    <t>Rosemont School</t>
  </si>
  <si>
    <t>1519</t>
  </si>
  <si>
    <t>Royal Oak School</t>
  </si>
  <si>
    <t>9358</t>
  </si>
  <si>
    <t>Rundle School</t>
  </si>
  <si>
    <t>1520</t>
  </si>
  <si>
    <t>Saddle Ridge School</t>
  </si>
  <si>
    <t>9354</t>
  </si>
  <si>
    <t>Sam Livingston School</t>
  </si>
  <si>
    <t>1451</t>
  </si>
  <si>
    <t>Samuel W. Shaw School</t>
  </si>
  <si>
    <t>0597</t>
  </si>
  <si>
    <t>Scenic Acres School</t>
  </si>
  <si>
    <t>9640</t>
  </si>
  <si>
    <t>Senator Patrick Burns School</t>
  </si>
  <si>
    <t>9632</t>
  </si>
  <si>
    <t>Sherwood School</t>
  </si>
  <si>
    <t>2281</t>
  </si>
  <si>
    <t>Sibylla Kiddle School</t>
  </si>
  <si>
    <t>9256</t>
  </si>
  <si>
    <t>Silver Springs School</t>
  </si>
  <si>
    <t>9646</t>
  </si>
  <si>
    <t>Simon Fraser School</t>
  </si>
  <si>
    <t>9383</t>
  </si>
  <si>
    <t>Simons Valley School</t>
  </si>
  <si>
    <t>9652</t>
  </si>
  <si>
    <t>Sir John A. Macdonald School</t>
  </si>
  <si>
    <t>9649</t>
  </si>
  <si>
    <t>Sir John Franklin School</t>
  </si>
  <si>
    <t>9648</t>
  </si>
  <si>
    <t>Sir Wilfrid Laurier School</t>
  </si>
  <si>
    <t>9857</t>
  </si>
  <si>
    <t>Sir Winston Churchill High School</t>
  </si>
  <si>
    <t>1099</t>
  </si>
  <si>
    <t>Somerset School</t>
  </si>
  <si>
    <t>9233</t>
  </si>
  <si>
    <t>Stanley Jones School</t>
  </si>
  <si>
    <t>1232</t>
  </si>
  <si>
    <t>Start Outreach</t>
  </si>
  <si>
    <t>9368</t>
  </si>
  <si>
    <t>Sunalta School</t>
  </si>
  <si>
    <t>9267</t>
  </si>
  <si>
    <t>Sundance School</t>
  </si>
  <si>
    <t>9234</t>
  </si>
  <si>
    <t>Sunnyside School</t>
  </si>
  <si>
    <t>1450</t>
  </si>
  <si>
    <t>Taradale School</t>
  </si>
  <si>
    <t>1677</t>
  </si>
  <si>
    <t>Ted Harrison School</t>
  </si>
  <si>
    <t>9138</t>
  </si>
  <si>
    <t>Terrace Road School</t>
  </si>
  <si>
    <t>9689</t>
  </si>
  <si>
    <t>Terry Fox School</t>
  </si>
  <si>
    <t>0387</t>
  </si>
  <si>
    <t>The Hamptons School</t>
  </si>
  <si>
    <t>9611</t>
  </si>
  <si>
    <t>Thomas B. Riley School</t>
  </si>
  <si>
    <t>9235</t>
  </si>
  <si>
    <t>Thorncliffe School</t>
  </si>
  <si>
    <t>9690</t>
  </si>
  <si>
    <t>Tom Baines School</t>
  </si>
  <si>
    <t>1335</t>
  </si>
  <si>
    <t>Tuscany School</t>
  </si>
  <si>
    <t>1678</t>
  </si>
  <si>
    <t>Twelve Mile Coulee School</t>
  </si>
  <si>
    <t>9237</t>
  </si>
  <si>
    <t>University School</t>
  </si>
  <si>
    <t>1098</t>
  </si>
  <si>
    <t>Valley Creek School</t>
  </si>
  <si>
    <t>9330</t>
  </si>
  <si>
    <t>Valley View School</t>
  </si>
  <si>
    <t>9238</t>
  </si>
  <si>
    <t>Varsity Acres School</t>
  </si>
  <si>
    <t>9628</t>
  </si>
  <si>
    <t>Vincent Massey School</t>
  </si>
  <si>
    <t>9239</t>
  </si>
  <si>
    <t>Vista Heights School</t>
  </si>
  <si>
    <t>9257</t>
  </si>
  <si>
    <t>W. O. Mitchell School</t>
  </si>
  <si>
    <t>9387</t>
  </si>
  <si>
    <t>W.H.Cushing Workplace School</t>
  </si>
  <si>
    <t>9344</t>
  </si>
  <si>
    <t>West Dalhousie School</t>
  </si>
  <si>
    <t>9357</t>
  </si>
  <si>
    <t>West Dover School</t>
  </si>
  <si>
    <t>2087</t>
  </si>
  <si>
    <t>West Ridge School</t>
  </si>
  <si>
    <t>1521</t>
  </si>
  <si>
    <t>West Springs School</t>
  </si>
  <si>
    <t>9687</t>
  </si>
  <si>
    <t>West View School</t>
  </si>
  <si>
    <t>1260</t>
  </si>
  <si>
    <t>Westbrook Outreach</t>
  </si>
  <si>
    <t>9816</t>
  </si>
  <si>
    <t>Western Canada High School</t>
  </si>
  <si>
    <t>9140</t>
  </si>
  <si>
    <t>Westgate School</t>
  </si>
  <si>
    <t>9141</t>
  </si>
  <si>
    <t>Wildwood School</t>
  </si>
  <si>
    <t>9829</t>
  </si>
  <si>
    <t>William Aberhart High School</t>
  </si>
  <si>
    <t>2067</t>
  </si>
  <si>
    <t>William D. Pratt School</t>
  </si>
  <si>
    <t>9142</t>
  </si>
  <si>
    <t>William Reid School</t>
  </si>
  <si>
    <t>9033</t>
  </si>
  <si>
    <t>William Roper Hull School</t>
  </si>
  <si>
    <t>9331</t>
  </si>
  <si>
    <t>9685</t>
  </si>
  <si>
    <t>Wilma Hansen School</t>
  </si>
  <si>
    <t>9266</t>
  </si>
  <si>
    <t>Woodbine School</t>
  </si>
  <si>
    <t>9371</t>
  </si>
  <si>
    <t>Woodlands School</t>
  </si>
  <si>
    <t>9631</t>
  </si>
  <si>
    <t>Woodman School</t>
  </si>
  <si>
    <t>9035</t>
  </si>
  <si>
    <t>Wood's Homes School</t>
  </si>
  <si>
    <t>3065</t>
  </si>
  <si>
    <t>The Canadian Rockies School Division</t>
  </si>
  <si>
    <t>1755</t>
  </si>
  <si>
    <t>Alpenglow Community School</t>
  </si>
  <si>
    <t>5235</t>
  </si>
  <si>
    <t>Banff Community High School</t>
  </si>
  <si>
    <t>5236</t>
  </si>
  <si>
    <t>Banff Elementary School</t>
  </si>
  <si>
    <t>1322</t>
  </si>
  <si>
    <t>Canadian Rockies Education Outreach</t>
  </si>
  <si>
    <t>5243</t>
  </si>
  <si>
    <t>Canmore Collegiate</t>
  </si>
  <si>
    <t>5242</t>
  </si>
  <si>
    <t>Elizabeth Rummel School</t>
  </si>
  <si>
    <t>5239</t>
  </si>
  <si>
    <t>Exshaw School</t>
  </si>
  <si>
    <t>5238</t>
  </si>
  <si>
    <t>Lawrence Grassi Middle School</t>
  </si>
  <si>
    <t>0053</t>
  </si>
  <si>
    <t>The Chinook's Edge School Division</t>
  </si>
  <si>
    <t>1980</t>
  </si>
  <si>
    <t>Beacon Hill Elementary School</t>
  </si>
  <si>
    <t>4402</t>
  </si>
  <si>
    <t>Bowden (Grandview) School</t>
  </si>
  <si>
    <t>4412</t>
  </si>
  <si>
    <t>C. P. Blakely Elementary School</t>
  </si>
  <si>
    <t>1469</t>
  </si>
  <si>
    <t>Carstairs Elementary School</t>
  </si>
  <si>
    <t>4418</t>
  </si>
  <si>
    <t>Chinook's Edge Summer School</t>
  </si>
  <si>
    <t>5103</t>
  </si>
  <si>
    <t>Cremona School</t>
  </si>
  <si>
    <t>4403</t>
  </si>
  <si>
    <t>Delburne Centralized School</t>
  </si>
  <si>
    <t>4419</t>
  </si>
  <si>
    <t>Didsbury Career High School</t>
  </si>
  <si>
    <t>5105</t>
  </si>
  <si>
    <t>Didsbury High School</t>
  </si>
  <si>
    <t>5117</t>
  </si>
  <si>
    <t>École Deer Meadow School</t>
  </si>
  <si>
    <t>0524</t>
  </si>
  <si>
    <t>École Fox Run School</t>
  </si>
  <si>
    <t>4411</t>
  </si>
  <si>
    <t>École H.J. Cody High School</t>
  </si>
  <si>
    <t>1133</t>
  </si>
  <si>
    <t>École Innisfail Middle School</t>
  </si>
  <si>
    <t>4406</t>
  </si>
  <si>
    <t>École John Wilson Elementary School</t>
  </si>
  <si>
    <t>5116</t>
  </si>
  <si>
    <t>École Olds Elementary School</t>
  </si>
  <si>
    <t>5115</t>
  </si>
  <si>
    <t>École Olds High School</t>
  </si>
  <si>
    <t>4415</t>
  </si>
  <si>
    <t>École Steffie Woima Elementary School</t>
  </si>
  <si>
    <t>4404</t>
  </si>
  <si>
    <t>Elnora School</t>
  </si>
  <si>
    <t>5119</t>
  </si>
  <si>
    <t>HOME Base</t>
  </si>
  <si>
    <t>5191</t>
  </si>
  <si>
    <t>Horizon Alternate Program</t>
  </si>
  <si>
    <t>5101</t>
  </si>
  <si>
    <t>Hugh Sutherland School</t>
  </si>
  <si>
    <t>4421</t>
  </si>
  <si>
    <t>Innisfail Career High School</t>
  </si>
  <si>
    <t>4405</t>
  </si>
  <si>
    <t>Innisfail High School</t>
  </si>
  <si>
    <t>4414</t>
  </si>
  <si>
    <t>Jessie Duncan Elementary School</t>
  </si>
  <si>
    <t>2358</t>
  </si>
  <si>
    <t>May City Hutterite Colony School</t>
  </si>
  <si>
    <t>5121</t>
  </si>
  <si>
    <t>Neudorf Colony School</t>
  </si>
  <si>
    <t>4423</t>
  </si>
  <si>
    <t>Off Campus Learning</t>
  </si>
  <si>
    <t>4425</t>
  </si>
  <si>
    <t>Olds Career High School</t>
  </si>
  <si>
    <t>5193</t>
  </si>
  <si>
    <t>Olds Koinonia Christian School</t>
  </si>
  <si>
    <t>4416</t>
  </si>
  <si>
    <t>Penhold Career High School</t>
  </si>
  <si>
    <t>1771</t>
  </si>
  <si>
    <t>Penhold Crossing Secondary School</t>
  </si>
  <si>
    <t>4407</t>
  </si>
  <si>
    <t>4408</t>
  </si>
  <si>
    <t>Pine Hill Colony School</t>
  </si>
  <si>
    <t>4413</t>
  </si>
  <si>
    <t>Poplar Ridge School</t>
  </si>
  <si>
    <t>0385</t>
  </si>
  <si>
    <t>Rainbow Colony School</t>
  </si>
  <si>
    <t>5118</t>
  </si>
  <si>
    <t>Reed Ranch School</t>
  </si>
  <si>
    <t>5120</t>
  </si>
  <si>
    <t>River Valley School</t>
  </si>
  <si>
    <t>5106</t>
  </si>
  <si>
    <t>Ross Ford Elementary School</t>
  </si>
  <si>
    <t>4410</t>
  </si>
  <si>
    <t>Spruce View School</t>
  </si>
  <si>
    <t>5112</t>
  </si>
  <si>
    <t>Sundre High School</t>
  </si>
  <si>
    <t>4420</t>
  </si>
  <si>
    <t>Sundre Learning Centre</t>
  </si>
  <si>
    <t>4417</t>
  </si>
  <si>
    <t>Sylvan Lake Career High School</t>
  </si>
  <si>
    <t>5107</t>
  </si>
  <si>
    <t>Westglen School</t>
  </si>
  <si>
    <t>4208</t>
  </si>
  <si>
    <t>The Christ the Redeemer Catholic Separate School Division</t>
  </si>
  <si>
    <t>5970</t>
  </si>
  <si>
    <t>Assumption Roman Catholic School</t>
  </si>
  <si>
    <t>1784</t>
  </si>
  <si>
    <t>Christ The King Academy</t>
  </si>
  <si>
    <t>5370</t>
  </si>
  <si>
    <t>1231</t>
  </si>
  <si>
    <t>Holy Cross Collegiate</t>
  </si>
  <si>
    <t>5374</t>
  </si>
  <si>
    <t>Holy Family Academy</t>
  </si>
  <si>
    <t>5373</t>
  </si>
  <si>
    <t>Holy Spirit Academy</t>
  </si>
  <si>
    <t>5371</t>
  </si>
  <si>
    <t>Holy Trinity Academy</t>
  </si>
  <si>
    <t>0519</t>
  </si>
  <si>
    <t>Notre Dame Collegiate</t>
  </si>
  <si>
    <t>1482</t>
  </si>
  <si>
    <t>Okotoks Home Schooling</t>
  </si>
  <si>
    <t>0594</t>
  </si>
  <si>
    <t>Our Lady of the Snows Catholic Academy</t>
  </si>
  <si>
    <t>0593</t>
  </si>
  <si>
    <t>Sacred Heart Academy</t>
  </si>
  <si>
    <t>5770</t>
  </si>
  <si>
    <t>St. Anthony's School</t>
  </si>
  <si>
    <t>2063</t>
  </si>
  <si>
    <t>St. Francis of Assisi Academy</t>
  </si>
  <si>
    <t>1281</t>
  </si>
  <si>
    <t>St. John Paul II Collegiate</t>
  </si>
  <si>
    <t>0439</t>
  </si>
  <si>
    <t>St. Joseph's Collegiate</t>
  </si>
  <si>
    <t>1431</t>
  </si>
  <si>
    <t>St. Luke's Outreach Centre Brooks</t>
  </si>
  <si>
    <t>1471</t>
  </si>
  <si>
    <t>St. Luke's Outreach Centre High River</t>
  </si>
  <si>
    <t>1375</t>
  </si>
  <si>
    <t>St. Luke's Outreach Centre Okotoks</t>
  </si>
  <si>
    <t>0391</t>
  </si>
  <si>
    <t>St. Mary's School</t>
  </si>
  <si>
    <t>5369</t>
  </si>
  <si>
    <t>St. Paul's Academy</t>
  </si>
  <si>
    <t>5372</t>
  </si>
  <si>
    <t>The Centre for Learning@HOME</t>
  </si>
  <si>
    <t>1631</t>
  </si>
  <si>
    <t>The Centre for Learning@Home-Edmonton</t>
  </si>
  <si>
    <t>0052</t>
  </si>
  <si>
    <t>The Clearview School Division</t>
  </si>
  <si>
    <t>4601</t>
  </si>
  <si>
    <t>Big Valley School</t>
  </si>
  <si>
    <t>4602</t>
  </si>
  <si>
    <t>Botha School</t>
  </si>
  <si>
    <t>4821</t>
  </si>
  <si>
    <t>Brownfield Community School</t>
  </si>
  <si>
    <t>4612</t>
  </si>
  <si>
    <t>Byemoor Colony School</t>
  </si>
  <si>
    <t>4603</t>
  </si>
  <si>
    <t>Byemoor School</t>
  </si>
  <si>
    <t>1529</t>
  </si>
  <si>
    <t>Castor Outreach School</t>
  </si>
  <si>
    <t>4824</t>
  </si>
  <si>
    <t>Coronation School</t>
  </si>
  <si>
    <t>4611</t>
  </si>
  <si>
    <t>Donalda Colony School</t>
  </si>
  <si>
    <t>4604</t>
  </si>
  <si>
    <t>Donalda School</t>
  </si>
  <si>
    <t>4610</t>
  </si>
  <si>
    <t>Erskine Colony School</t>
  </si>
  <si>
    <t>4606</t>
  </si>
  <si>
    <t>Erskine School</t>
  </si>
  <si>
    <t>4613</t>
  </si>
  <si>
    <t>Gadsby Colony School</t>
  </si>
  <si>
    <t>4822</t>
  </si>
  <si>
    <t>Gus Wetter School</t>
  </si>
  <si>
    <t>4826</t>
  </si>
  <si>
    <t>Lanes Lake Colony School</t>
  </si>
  <si>
    <t>0392</t>
  </si>
  <si>
    <t>Lone Pine Colony School</t>
  </si>
  <si>
    <t>2033</t>
  </si>
  <si>
    <t>Silver Spring Colony School</t>
  </si>
  <si>
    <t>4609</t>
  </si>
  <si>
    <t>Star Ridge Colony School</t>
  </si>
  <si>
    <t>4647</t>
  </si>
  <si>
    <t>Stettler Elementary School</t>
  </si>
  <si>
    <t>4616</t>
  </si>
  <si>
    <t>Stettler Outreach School</t>
  </si>
  <si>
    <t>4827</t>
  </si>
  <si>
    <t>Suncrest Colony School</t>
  </si>
  <si>
    <t>2153</t>
  </si>
  <si>
    <t>Whitesand Colony School</t>
  </si>
  <si>
    <t>4644</t>
  </si>
  <si>
    <t>William E Hay Composite High School</t>
  </si>
  <si>
    <t>4330</t>
  </si>
  <si>
    <t>The East Central Alberta Catholic Separate School Division</t>
  </si>
  <si>
    <t>0433</t>
  </si>
  <si>
    <t>Blessed Sacrament Outreach School</t>
  </si>
  <si>
    <t>3970</t>
  </si>
  <si>
    <t>Blessed Sacrament School</t>
  </si>
  <si>
    <t>1165</t>
  </si>
  <si>
    <t>Christ-King Catholic School</t>
  </si>
  <si>
    <t>3971</t>
  </si>
  <si>
    <t>Hope Home Schooling</t>
  </si>
  <si>
    <t>1220</t>
  </si>
  <si>
    <t>Lethbridge Writing Centre</t>
  </si>
  <si>
    <t>0485</t>
  </si>
  <si>
    <t>Newman Theological College</t>
  </si>
  <si>
    <t>3972</t>
  </si>
  <si>
    <t>School of Hope</t>
  </si>
  <si>
    <t>1937</t>
  </si>
  <si>
    <t>St. David's United Church</t>
  </si>
  <si>
    <t>3870</t>
  </si>
  <si>
    <t>St. Jerome's School</t>
  </si>
  <si>
    <t>4970</t>
  </si>
  <si>
    <t>4870</t>
  </si>
  <si>
    <t>Theresetta Roman Catholic Separate School</t>
  </si>
  <si>
    <t>8060</t>
  </si>
  <si>
    <t>The East Central Francophone Education Region</t>
  </si>
  <si>
    <t>1363</t>
  </si>
  <si>
    <t>2718</t>
  </si>
  <si>
    <t>2876</t>
  </si>
  <si>
    <t>2892</t>
  </si>
  <si>
    <t>1904</t>
  </si>
  <si>
    <t>École Sainte-Catherine</t>
  </si>
  <si>
    <t>2985</t>
  </si>
  <si>
    <t>0110</t>
  </si>
  <si>
    <t>The Edmonton Catholic Separate School Division</t>
  </si>
  <si>
    <t>1576</t>
  </si>
  <si>
    <t>Alberta Health Services Day Program</t>
  </si>
  <si>
    <t>8412</t>
  </si>
  <si>
    <t>Alternative Education</t>
  </si>
  <si>
    <t>8049</t>
  </si>
  <si>
    <t>Anne Fitzgerald Catholic Elementary School</t>
  </si>
  <si>
    <t>8001</t>
  </si>
  <si>
    <t>Annunciation Catholic Elementary School</t>
  </si>
  <si>
    <t>1026</t>
  </si>
  <si>
    <t>Archbishop Joseph MacNeil Catholic Elementary/Junior High School</t>
  </si>
  <si>
    <t>8403</t>
  </si>
  <si>
    <t>Archbishop MacDonald Catholic High School</t>
  </si>
  <si>
    <t>8404</t>
  </si>
  <si>
    <t>Archbishop O’Leary Catholic High School</t>
  </si>
  <si>
    <t>8402</t>
  </si>
  <si>
    <t>Austin O’Brien Catholic High School</t>
  </si>
  <si>
    <t>8214</t>
  </si>
  <si>
    <t>Ben Calf Robe - St. Clare Catholic Elementary/Junior High School</t>
  </si>
  <si>
    <t>1967</t>
  </si>
  <si>
    <t>Bishop David Motiuk Catholic Elementary/Junior High School</t>
  </si>
  <si>
    <t>8059</t>
  </si>
  <si>
    <t>Bishop Greschuk Catholic Elementary School</t>
  </si>
  <si>
    <t>8048</t>
  </si>
  <si>
    <t>Bishop Savaryn Catholic Elementary School</t>
  </si>
  <si>
    <t>2385</t>
  </si>
  <si>
    <t>Cardinal Collins Catholic Academic Centre - City Centre</t>
  </si>
  <si>
    <t>2382</t>
  </si>
  <si>
    <t>Cardinal Collins Catholic Academic Centre - Clareview</t>
  </si>
  <si>
    <t>2383</t>
  </si>
  <si>
    <t>Cardinal Collins Catholic Academic Centre - Mill Woods</t>
  </si>
  <si>
    <t>2384</t>
  </si>
  <si>
    <t>Cardinal Collins Catholic Academic Centre - Westmount</t>
  </si>
  <si>
    <t>8287</t>
  </si>
  <si>
    <t>Cardinal Leger Catholic Junior High School</t>
  </si>
  <si>
    <t>1972</t>
  </si>
  <si>
    <t>Christ the King Catholic Elementary/Junior High School</t>
  </si>
  <si>
    <t>1973</t>
  </si>
  <si>
    <t>Corpus Christi Catholic Elementary/Junior High School</t>
  </si>
  <si>
    <t>2266</t>
  </si>
  <si>
    <t>Divine Mercy Catholic Elementary School</t>
  </si>
  <si>
    <t>8003</t>
  </si>
  <si>
    <t>Father Leo Green Catholic Elementary School</t>
  </si>
  <si>
    <t>2436</t>
  </si>
  <si>
    <t>Father Michael McCaffery Catholic High School</t>
  </si>
  <si>
    <t>1968</t>
  </si>
  <si>
    <t>Father Michael Mireau Catholic Elementary/Junior High School</t>
  </si>
  <si>
    <t>1025</t>
  </si>
  <si>
    <t>Father Michael Troy Catholic Junior High School</t>
  </si>
  <si>
    <t>8236</t>
  </si>
  <si>
    <t>Frere Antoine Catholic Elementary School</t>
  </si>
  <si>
    <t>8061</t>
  </si>
  <si>
    <t>Good Shepherd Catholic Elementary School</t>
  </si>
  <si>
    <t>8004</t>
  </si>
  <si>
    <t>H. E. Beriault Catholic Junior High School</t>
  </si>
  <si>
    <t>8202</t>
  </si>
  <si>
    <t>Holy Child Catholic Elementary School</t>
  </si>
  <si>
    <t>8203</t>
  </si>
  <si>
    <t>Holy Cross Catholic Elementary/Junior High School</t>
  </si>
  <si>
    <t>8234</t>
  </si>
  <si>
    <t>Holy Family Catholic Elementary/Junior High School</t>
  </si>
  <si>
    <t>8411</t>
  </si>
  <si>
    <t>Holy Trinity Catholic High School</t>
  </si>
  <si>
    <t>8410</t>
  </si>
  <si>
    <t>J. H. Picard Catholic Elementary/Junior/Senior High School</t>
  </si>
  <si>
    <t>8200</t>
  </si>
  <si>
    <t>J. J. Bowlen Catholic Junior High School</t>
  </si>
  <si>
    <t>2435</t>
  </si>
  <si>
    <t>Joan Carr Catholic Elementary/Junior High School</t>
  </si>
  <si>
    <t>8053</t>
  </si>
  <si>
    <t>8043</t>
  </si>
  <si>
    <t>Katherine Therrien</t>
  </si>
  <si>
    <t>1361</t>
  </si>
  <si>
    <t>Kisiko Awasis Kiskinahamawin at Mountain Cree Camp</t>
  </si>
  <si>
    <t>8409</t>
  </si>
  <si>
    <t>Louis St. Laurent</t>
  </si>
  <si>
    <t>Mary Hanley</t>
  </si>
  <si>
    <t>1429</t>
  </si>
  <si>
    <t>Monsignor Fee Otterson Catholic Elementary/Junior High School</t>
  </si>
  <si>
    <t>1428</t>
  </si>
  <si>
    <t>Monsignor William Irwin Catholic Elementary School</t>
  </si>
  <si>
    <t>1430</t>
  </si>
  <si>
    <t>Mother Margaret Mary Catholic High School</t>
  </si>
  <si>
    <t>8205</t>
  </si>
  <si>
    <t>Our Lady of Mount Carmel</t>
  </si>
  <si>
    <t>8010</t>
  </si>
  <si>
    <t>Our Lady of Peace</t>
  </si>
  <si>
    <t>8058</t>
  </si>
  <si>
    <t>Our Lady of The Prairies</t>
  </si>
  <si>
    <t>8011</t>
  </si>
  <si>
    <t>Our Lady of Victories</t>
  </si>
  <si>
    <t>8207</t>
  </si>
  <si>
    <t>Sir John Thompson</t>
  </si>
  <si>
    <t>1427</t>
  </si>
  <si>
    <t>Sister Annata Brockman Catholic Elementary/Junior High School</t>
  </si>
  <si>
    <t>8208</t>
  </si>
  <si>
    <t>St. Alphonsus</t>
  </si>
  <si>
    <t>8013</t>
  </si>
  <si>
    <t>St. Angela</t>
  </si>
  <si>
    <t>8042</t>
  </si>
  <si>
    <t>St. Anne</t>
  </si>
  <si>
    <t>8038</t>
  </si>
  <si>
    <t>St. Augustine</t>
  </si>
  <si>
    <t>8232</t>
  </si>
  <si>
    <t>St. Benedict</t>
  </si>
  <si>
    <t>8016</t>
  </si>
  <si>
    <t>St. Bernadette</t>
  </si>
  <si>
    <t>8054</t>
  </si>
  <si>
    <t>St. Bonaventure</t>
  </si>
  <si>
    <t>8018</t>
  </si>
  <si>
    <t>St. Boniface</t>
  </si>
  <si>
    <t>1970</t>
  </si>
  <si>
    <t>St. Brendan School</t>
  </si>
  <si>
    <t>8212</t>
  </si>
  <si>
    <t>St. Catherine</t>
  </si>
  <si>
    <t>8213</t>
  </si>
  <si>
    <t>St. Cecilia</t>
  </si>
  <si>
    <t>8057</t>
  </si>
  <si>
    <t>St. Charles</t>
  </si>
  <si>
    <t>8231</t>
  </si>
  <si>
    <t>St. Clement</t>
  </si>
  <si>
    <t>8020</t>
  </si>
  <si>
    <t>St. Dominic</t>
  </si>
  <si>
    <t>8215</t>
  </si>
  <si>
    <t>St. Edmund</t>
  </si>
  <si>
    <t>8041</t>
  </si>
  <si>
    <t>St. Elizabeth</t>
  </si>
  <si>
    <t>8230</t>
  </si>
  <si>
    <t>8216</t>
  </si>
  <si>
    <t>St. Francis of Assisi</t>
  </si>
  <si>
    <t>8405</t>
  </si>
  <si>
    <t>St. Francis Xavier</t>
  </si>
  <si>
    <t>8217</t>
  </si>
  <si>
    <t>St. Gabriel</t>
  </si>
  <si>
    <t>8022</t>
  </si>
  <si>
    <t>St. Gerard</t>
  </si>
  <si>
    <t>8044</t>
  </si>
  <si>
    <t>St. Hilda</t>
  </si>
  <si>
    <t>1024</t>
  </si>
  <si>
    <t>St. John Bosco</t>
  </si>
  <si>
    <t>1969</t>
  </si>
  <si>
    <t>8407</t>
  </si>
  <si>
    <t>St. Joseph</t>
  </si>
  <si>
    <t>8040</t>
  </si>
  <si>
    <t>St. Justin</t>
  </si>
  <si>
    <t>8238</t>
  </si>
  <si>
    <t>St. Kateri Catholic School</t>
  </si>
  <si>
    <t>8220</t>
  </si>
  <si>
    <t>St. Leo</t>
  </si>
  <si>
    <t>8055</t>
  </si>
  <si>
    <t>St. Lucy</t>
  </si>
  <si>
    <t>8047</t>
  </si>
  <si>
    <t>St. Maria Goretti</t>
  </si>
  <si>
    <t>8221</t>
  </si>
  <si>
    <t>St. Mark</t>
  </si>
  <si>
    <t>8050</t>
  </si>
  <si>
    <t>St. Martha</t>
  </si>
  <si>
    <t>8028</t>
  </si>
  <si>
    <t>St. Martin</t>
  </si>
  <si>
    <t>8237</t>
  </si>
  <si>
    <t>St. Mary</t>
  </si>
  <si>
    <t>8029</t>
  </si>
  <si>
    <t>St. Matthew</t>
  </si>
  <si>
    <t>8039</t>
  </si>
  <si>
    <t>8223</t>
  </si>
  <si>
    <t>St. Nicholas</t>
  </si>
  <si>
    <t>1028</t>
  </si>
  <si>
    <t>St. Oscar Romero Catholic High School</t>
  </si>
  <si>
    <t>8225</t>
  </si>
  <si>
    <t>St. Paul</t>
  </si>
  <si>
    <t>8037</t>
  </si>
  <si>
    <t>St. Philip</t>
  </si>
  <si>
    <t>8226</t>
  </si>
  <si>
    <t>St. Pius X</t>
  </si>
  <si>
    <t>8056</t>
  </si>
  <si>
    <t>St. Richard</t>
  </si>
  <si>
    <t>8227</t>
  </si>
  <si>
    <t>St. Rose Catholic Junior High School</t>
  </si>
  <si>
    <t>8032</t>
  </si>
  <si>
    <t>St. Stanislaus Catholic Elementary School</t>
  </si>
  <si>
    <t>8051</t>
  </si>
  <si>
    <t>St. Teresa Catholic Elementary School</t>
  </si>
  <si>
    <t>1027</t>
  </si>
  <si>
    <t>St. Teresa of Calcutta Catholic Elementary School</t>
  </si>
  <si>
    <t>1971</t>
  </si>
  <si>
    <t>St. Thomas Aquinas Catholic Elementary/Junior High School</t>
  </si>
  <si>
    <t>8228</t>
  </si>
  <si>
    <t>St. Thomas More Catholic Junior High School</t>
  </si>
  <si>
    <t>8045</t>
  </si>
  <si>
    <t>St. Timothy Catholic Elementary School</t>
  </si>
  <si>
    <t>8229</t>
  </si>
  <si>
    <t>St. Vincent Catholic Elementary School</t>
  </si>
  <si>
    <t>8034</t>
  </si>
  <si>
    <t>St. Vladimir Catholic Elementary School</t>
  </si>
  <si>
    <t>3020</t>
  </si>
  <si>
    <t>The Edmonton School Division</t>
  </si>
  <si>
    <t>1458</t>
  </si>
  <si>
    <t>A. Blair McPherson School</t>
  </si>
  <si>
    <t>7100</t>
  </si>
  <si>
    <t>Abbott School</t>
  </si>
  <si>
    <t>7730</t>
  </si>
  <si>
    <t>Alberta School for the Deaf</t>
  </si>
  <si>
    <t>7234</t>
  </si>
  <si>
    <t>Aldergrove School</t>
  </si>
  <si>
    <t>2269</t>
  </si>
  <si>
    <t>Aleda Patterson School</t>
  </si>
  <si>
    <t>2268</t>
  </si>
  <si>
    <t>Alex Janvier School</t>
  </si>
  <si>
    <t>7500</t>
  </si>
  <si>
    <t>Allendale School</t>
  </si>
  <si>
    <t>0484</t>
  </si>
  <si>
    <t>Amiskwaciy Academy</t>
  </si>
  <si>
    <t>0349</t>
  </si>
  <si>
    <t>Argyll Home School Centre</t>
  </si>
  <si>
    <t>7707</t>
  </si>
  <si>
    <t>Aspen Program</t>
  </si>
  <si>
    <t>7104</t>
  </si>
  <si>
    <t>Athlone School</t>
  </si>
  <si>
    <t>7550</t>
  </si>
  <si>
    <t>Avalon Junior School</t>
  </si>
  <si>
    <t>7501</t>
  </si>
  <si>
    <t>Avonmore School</t>
  </si>
  <si>
    <t>7502</t>
  </si>
  <si>
    <t>Balwin School</t>
  </si>
  <si>
    <t>7253</t>
  </si>
  <si>
    <t>Bannerman School</t>
  </si>
  <si>
    <t>7247</t>
  </si>
  <si>
    <t>Baturyn School</t>
  </si>
  <si>
    <t>7106</t>
  </si>
  <si>
    <t>Beacon Heights School</t>
  </si>
  <si>
    <t>7107</t>
  </si>
  <si>
    <t>Belgravia School</t>
  </si>
  <si>
    <t>7236</t>
  </si>
  <si>
    <t>Belmead School</t>
  </si>
  <si>
    <t>7228</t>
  </si>
  <si>
    <t>Belmont School</t>
  </si>
  <si>
    <t>7109</t>
  </si>
  <si>
    <t>Belvedere School</t>
  </si>
  <si>
    <t>1577</t>
  </si>
  <si>
    <t>Bessie Nichols School</t>
  </si>
  <si>
    <t>7276</t>
  </si>
  <si>
    <t>Bisset School</t>
  </si>
  <si>
    <t>7704</t>
  </si>
  <si>
    <t>Braemar School</t>
  </si>
  <si>
    <t>7226</t>
  </si>
  <si>
    <t>Brander Gardens School</t>
  </si>
  <si>
    <t>7504</t>
  </si>
  <si>
    <t>Brightview School</t>
  </si>
  <si>
    <t>7551</t>
  </si>
  <si>
    <t>Britannia School</t>
  </si>
  <si>
    <t>7146</t>
  </si>
  <si>
    <t>Brookside School</t>
  </si>
  <si>
    <t>7225</t>
  </si>
  <si>
    <t>Caernarvon School</t>
  </si>
  <si>
    <t>7113</t>
  </si>
  <si>
    <t>Calder School</t>
  </si>
  <si>
    <t>1278</t>
  </si>
  <si>
    <t>Calgary Writing Centre (Argyll Home School)</t>
  </si>
  <si>
    <t>7237</t>
  </si>
  <si>
    <t>Callingwood Elementary School</t>
  </si>
  <si>
    <t>7260</t>
  </si>
  <si>
    <t>Centennial School</t>
  </si>
  <si>
    <t>0017</t>
  </si>
  <si>
    <t>Centre High</t>
  </si>
  <si>
    <t>7193</t>
  </si>
  <si>
    <t>Clara Tyner School</t>
  </si>
  <si>
    <t>1924</t>
  </si>
  <si>
    <t>Constable Daniel Woodall School</t>
  </si>
  <si>
    <t>7115</t>
  </si>
  <si>
    <t>7263</t>
  </si>
  <si>
    <t>Crawford Plains School</t>
  </si>
  <si>
    <t>7503</t>
  </si>
  <si>
    <t>Crestwood School</t>
  </si>
  <si>
    <t>7522</t>
  </si>
  <si>
    <t>D S MacKenzie School</t>
  </si>
  <si>
    <t>7264</t>
  </si>
  <si>
    <t>Daly Grove School</t>
  </si>
  <si>
    <t>1930</t>
  </si>
  <si>
    <t>David Thomas King School</t>
  </si>
  <si>
    <t>7118</t>
  </si>
  <si>
    <t>Delton School</t>
  </si>
  <si>
    <t>7194</t>
  </si>
  <si>
    <t>Delwood School</t>
  </si>
  <si>
    <t>7559</t>
  </si>
  <si>
    <t>Dickinsfield School</t>
  </si>
  <si>
    <t>1950</t>
  </si>
  <si>
    <t>Donald R. Getty School</t>
  </si>
  <si>
    <t>7505</t>
  </si>
  <si>
    <t>Donnan School</t>
  </si>
  <si>
    <t>7121</t>
  </si>
  <si>
    <t>Dovercourt School</t>
  </si>
  <si>
    <t>2249</t>
  </si>
  <si>
    <t>Dr. Anne Anderson School</t>
  </si>
  <si>
    <t>1456</t>
  </si>
  <si>
    <t>Dr. Donald Massey School</t>
  </si>
  <si>
    <t>1926</t>
  </si>
  <si>
    <t>Dr. Lila Fahlman School</t>
  </si>
  <si>
    <t>1934</t>
  </si>
  <si>
    <t>Dr. Margaret-Ann Armour School</t>
  </si>
  <si>
    <t>7218</t>
  </si>
  <si>
    <t>Duggan School</t>
  </si>
  <si>
    <t>7246</t>
  </si>
  <si>
    <t>Dunluce School</t>
  </si>
  <si>
    <t>7278</t>
  </si>
  <si>
    <t>Earl Buxton School</t>
  </si>
  <si>
    <t>7051</t>
  </si>
  <si>
    <t>Eastglen School</t>
  </si>
  <si>
    <t>7561</t>
  </si>
  <si>
    <t>Edith Rogers School</t>
  </si>
  <si>
    <t>7905</t>
  </si>
  <si>
    <t>Edmonton Christian High School</t>
  </si>
  <si>
    <t>1282</t>
  </si>
  <si>
    <t>Edmonton Christian Northeast School</t>
  </si>
  <si>
    <t>1283</t>
  </si>
  <si>
    <t>Edmonton Christian West School</t>
  </si>
  <si>
    <t>7233</t>
  </si>
  <si>
    <t>Ekota School</t>
  </si>
  <si>
    <t>1459</t>
  </si>
  <si>
    <t>Elizabeth Finch School</t>
  </si>
  <si>
    <t>7565</t>
  </si>
  <si>
    <t>Ellerslie Campus</t>
  </si>
  <si>
    <t>7204</t>
  </si>
  <si>
    <t>Elmwood School</t>
  </si>
  <si>
    <t>1460</t>
  </si>
  <si>
    <t>Esther Starkman School</t>
  </si>
  <si>
    <t>7215</t>
  </si>
  <si>
    <t>Evansdale School</t>
  </si>
  <si>
    <t>1457</t>
  </si>
  <si>
    <t>Florence Hallock School</t>
  </si>
  <si>
    <t>7123</t>
  </si>
  <si>
    <t>Forest Heights School</t>
  </si>
  <si>
    <t>7273</t>
  </si>
  <si>
    <t>Fraser School</t>
  </si>
  <si>
    <t>7509</t>
  </si>
  <si>
    <t>Garneau School</t>
  </si>
  <si>
    <t>2275</t>
  </si>
  <si>
    <t>Garth Worthington School</t>
  </si>
  <si>
    <t>7279</t>
  </si>
  <si>
    <t>George H Luck School</t>
  </si>
  <si>
    <t>1004</t>
  </si>
  <si>
    <t>George P. Nicholson School</t>
  </si>
  <si>
    <t>7184</t>
  </si>
  <si>
    <t>Glengarry School</t>
  </si>
  <si>
    <t>7126</t>
  </si>
  <si>
    <t>Glenora School</t>
  </si>
  <si>
    <t>7127</t>
  </si>
  <si>
    <t>Gold Bar School</t>
  </si>
  <si>
    <t>7220</t>
  </si>
  <si>
    <t>Grace Martin School</t>
  </si>
  <si>
    <t>7128</t>
  </si>
  <si>
    <t>Grandview Heights School</t>
  </si>
  <si>
    <t>7178</t>
  </si>
  <si>
    <t>Greenfield School</t>
  </si>
  <si>
    <t>7250</t>
  </si>
  <si>
    <t>Greenview School</t>
  </si>
  <si>
    <t>7129</t>
  </si>
  <si>
    <t>Grovenor School</t>
  </si>
  <si>
    <t>7512</t>
  </si>
  <si>
    <t>Hardisty School</t>
  </si>
  <si>
    <t>7059</t>
  </si>
  <si>
    <t>Harry Ainlay School</t>
  </si>
  <si>
    <t>7132</t>
  </si>
  <si>
    <t>Hazeldean School</t>
  </si>
  <si>
    <t>7513</t>
  </si>
  <si>
    <t>Highlands School</t>
  </si>
  <si>
    <t>7552</t>
  </si>
  <si>
    <t>Hillcrest School</t>
  </si>
  <si>
    <t>7255</t>
  </si>
  <si>
    <t>Hillview School</t>
  </si>
  <si>
    <t>1931</t>
  </si>
  <si>
    <t>Hilwie Hamdon School</t>
  </si>
  <si>
    <t>7514</t>
  </si>
  <si>
    <t>Holyrood School</t>
  </si>
  <si>
    <t>7240</t>
  </si>
  <si>
    <t>Homesteader School</t>
  </si>
  <si>
    <t>7567</t>
  </si>
  <si>
    <t>Horse Hill School</t>
  </si>
  <si>
    <t>7701</t>
  </si>
  <si>
    <t>Hospital School Campuses</t>
  </si>
  <si>
    <t>7136</t>
  </si>
  <si>
    <t>Inglewood School</t>
  </si>
  <si>
    <t>7706</t>
  </si>
  <si>
    <t>Institutional Services Schools</t>
  </si>
  <si>
    <t>1951</t>
  </si>
  <si>
    <t>Ivor Dent School</t>
  </si>
  <si>
    <t>7188</t>
  </si>
  <si>
    <t>J A Fife School</t>
  </si>
  <si>
    <t>7075</t>
  </si>
  <si>
    <t>J Percy Page School</t>
  </si>
  <si>
    <t>1003</t>
  </si>
  <si>
    <t>Jackson Heights Elementary</t>
  </si>
  <si>
    <t>7207</t>
  </si>
  <si>
    <t>James Gibbons School</t>
  </si>
  <si>
    <t>1927</t>
  </si>
  <si>
    <t>Jan Reimer School</t>
  </si>
  <si>
    <t>7071</t>
  </si>
  <si>
    <t>Jasper Place School</t>
  </si>
  <si>
    <t>2433</t>
  </si>
  <si>
    <t>Joey Moss School</t>
  </si>
  <si>
    <t>7521</t>
  </si>
  <si>
    <t>John A. McDougall School</t>
  </si>
  <si>
    <t>7214</t>
  </si>
  <si>
    <t>John Barnett School</t>
  </si>
  <si>
    <t>7573</t>
  </si>
  <si>
    <t>John D Bracco School</t>
  </si>
  <si>
    <t>1455</t>
  </si>
  <si>
    <t>Johnny Bright School</t>
  </si>
  <si>
    <t>7275</t>
  </si>
  <si>
    <t>Julia Kiniski School</t>
  </si>
  <si>
    <t>7239</t>
  </si>
  <si>
    <t>Kameyosek School</t>
  </si>
  <si>
    <t>7574</t>
  </si>
  <si>
    <t>Kate Chegwin School</t>
  </si>
  <si>
    <t>7254</t>
  </si>
  <si>
    <t>Keheewin School</t>
  </si>
  <si>
    <t>7546</t>
  </si>
  <si>
    <t>Kenilworth School</t>
  </si>
  <si>
    <t>7137</t>
  </si>
  <si>
    <t>Kensington School</t>
  </si>
  <si>
    <t>7138</t>
  </si>
  <si>
    <t>Kildare School</t>
  </si>
  <si>
    <t>7516</t>
  </si>
  <si>
    <t>1925</t>
  </si>
  <si>
    <t>Kim Hung School</t>
  </si>
  <si>
    <t>7517</t>
  </si>
  <si>
    <t>King Edward School</t>
  </si>
  <si>
    <t>7262</t>
  </si>
  <si>
    <t>Kirkness School</t>
  </si>
  <si>
    <t>7563</t>
  </si>
  <si>
    <t>kisêwâtisiwin School</t>
  </si>
  <si>
    <t>7702</t>
  </si>
  <si>
    <t>L Y Cairns School</t>
  </si>
  <si>
    <t>7277</t>
  </si>
  <si>
    <t>Lago Lindo School</t>
  </si>
  <si>
    <t>7180</t>
  </si>
  <si>
    <t>Lansdowne School</t>
  </si>
  <si>
    <t>7267</t>
  </si>
  <si>
    <t>LaPerle School</t>
  </si>
  <si>
    <t>7141</t>
  </si>
  <si>
    <t>Lauderdale School</t>
  </si>
  <si>
    <t>7518</t>
  </si>
  <si>
    <t>Laurier Heights School</t>
  </si>
  <si>
    <t>7724</t>
  </si>
  <si>
    <t>Learning Store at Blue Quill</t>
  </si>
  <si>
    <t>7723</t>
  </si>
  <si>
    <t>Learning Store at Circle Square</t>
  </si>
  <si>
    <t>7722</t>
  </si>
  <si>
    <t>Learning Store at Londonderry</t>
  </si>
  <si>
    <t>0386</t>
  </si>
  <si>
    <t>Learning Store on Whyte</t>
  </si>
  <si>
    <t>1022</t>
  </si>
  <si>
    <t>Learning Store West Edmonton</t>
  </si>
  <si>
    <t>7224</t>
  </si>
  <si>
    <t>Lee Ridge School</t>
  </si>
  <si>
    <t>7185</t>
  </si>
  <si>
    <t>Lendrum School</t>
  </si>
  <si>
    <t>1344</t>
  </si>
  <si>
    <t>Lillian Osborne High School</t>
  </si>
  <si>
    <t>7534</t>
  </si>
  <si>
    <t>Londonderry School</t>
  </si>
  <si>
    <t>7242</t>
  </si>
  <si>
    <t>Lorelei School</t>
  </si>
  <si>
    <t>7269</t>
  </si>
  <si>
    <t>Lymburn School</t>
  </si>
  <si>
    <t>7208</t>
  </si>
  <si>
    <t>Lynnwood School</t>
  </si>
  <si>
    <t>7063</t>
  </si>
  <si>
    <t>M. E. LaZerte School</t>
  </si>
  <si>
    <t>7575</t>
  </si>
  <si>
    <t>Major General Griesbach School</t>
  </si>
  <si>
    <t>7223</t>
  </si>
  <si>
    <t>Malcolm Tweddle School</t>
  </si>
  <si>
    <t>7186</t>
  </si>
  <si>
    <t>Malmo School</t>
  </si>
  <si>
    <t>7572</t>
  </si>
  <si>
    <t>Mary Butterworth School</t>
  </si>
  <si>
    <t>7209</t>
  </si>
  <si>
    <t>Mayfield School</t>
  </si>
  <si>
    <t>7143</t>
  </si>
  <si>
    <t>McArthur School</t>
  </si>
  <si>
    <t>7195</t>
  </si>
  <si>
    <t>McKee School</t>
  </si>
  <si>
    <t>7523</t>
  </si>
  <si>
    <t>McKernan School</t>
  </si>
  <si>
    <t>7200</t>
  </si>
  <si>
    <t>McLeod School</t>
  </si>
  <si>
    <t>7058</t>
  </si>
  <si>
    <t>McNally School</t>
  </si>
  <si>
    <t>7931</t>
  </si>
  <si>
    <t>Meadowlark Christian School</t>
  </si>
  <si>
    <t>7210</t>
  </si>
  <si>
    <t>Meadowlark School</t>
  </si>
  <si>
    <t>7149</t>
  </si>
  <si>
    <t>Mee-Yah-Noh School</t>
  </si>
  <si>
    <t>7259</t>
  </si>
  <si>
    <t>Menisa School</t>
  </si>
  <si>
    <t>7090</t>
  </si>
  <si>
    <t>Metro Continuing Education</t>
  </si>
  <si>
    <t>7257</t>
  </si>
  <si>
    <t>Meyokumin School</t>
  </si>
  <si>
    <t>7249</t>
  </si>
  <si>
    <t>Meyonohk School</t>
  </si>
  <si>
    <t>7281</t>
  </si>
  <si>
    <t>Michael A Kostek Elementary School</t>
  </si>
  <si>
    <t>1933</t>
  </si>
  <si>
    <t>Michael Phair School</t>
  </si>
  <si>
    <t>1578</t>
  </si>
  <si>
    <t>Michael Strembitsky School</t>
  </si>
  <si>
    <t>7150</t>
  </si>
  <si>
    <t>Mill Creek School</t>
  </si>
  <si>
    <t>7909</t>
  </si>
  <si>
    <t>Millwoods Christian School</t>
  </si>
  <si>
    <t>7274</t>
  </si>
  <si>
    <t>Minchau School</t>
  </si>
  <si>
    <t>7524</t>
  </si>
  <si>
    <t>Mount Pleasant School</t>
  </si>
  <si>
    <t>1936</t>
  </si>
  <si>
    <t>Nellie Carlson School</t>
  </si>
  <si>
    <t>7191</t>
  </si>
  <si>
    <t>Northmount School</t>
  </si>
  <si>
    <t>7156</t>
  </si>
  <si>
    <t>Norwood School</t>
  </si>
  <si>
    <t>7066</t>
  </si>
  <si>
    <t>Old Scona School</t>
  </si>
  <si>
    <t>7527</t>
  </si>
  <si>
    <t>7248</t>
  </si>
  <si>
    <t>Ormsby School</t>
  </si>
  <si>
    <t>7528</t>
  </si>
  <si>
    <t>Ottewell School</t>
  </si>
  <si>
    <t>7798</t>
  </si>
  <si>
    <t>Out-of-District Program</t>
  </si>
  <si>
    <t>7229</t>
  </si>
  <si>
    <t>Overlanders School</t>
  </si>
  <si>
    <t>7529</t>
  </si>
  <si>
    <t>Parkallen School</t>
  </si>
  <si>
    <t>7531</t>
  </si>
  <si>
    <t>Parkview School</t>
  </si>
  <si>
    <t>7176</t>
  </si>
  <si>
    <t>Patricia Heights School</t>
  </si>
  <si>
    <t>7258</t>
  </si>
  <si>
    <t>Pollard Meadows School</t>
  </si>
  <si>
    <t>7161</t>
  </si>
  <si>
    <t>7187</t>
  </si>
  <si>
    <t>Princeton School</t>
  </si>
  <si>
    <t>7164</t>
  </si>
  <si>
    <t>Queen Alexandra School</t>
  </si>
  <si>
    <t>7052</t>
  </si>
  <si>
    <t>7201</t>
  </si>
  <si>
    <t>Richard Secord School</t>
  </si>
  <si>
    <t>7232</t>
  </si>
  <si>
    <t>7211</t>
  </si>
  <si>
    <t>Rio Terrace Elementary School</t>
  </si>
  <si>
    <t>7538</t>
  </si>
  <si>
    <t>7168</t>
  </si>
  <si>
    <t>Riverdale School</t>
  </si>
  <si>
    <t>1935</t>
  </si>
  <si>
    <t>Roberta MacAdams School</t>
  </si>
  <si>
    <t>7729</t>
  </si>
  <si>
    <t>Rosecrest School</t>
  </si>
  <si>
    <t>7053</t>
  </si>
  <si>
    <t>Ross Sheppard School</t>
  </si>
  <si>
    <t>7535</t>
  </si>
  <si>
    <t>Rosslyn School</t>
  </si>
  <si>
    <t>7170</t>
  </si>
  <si>
    <t>Rutherford School</t>
  </si>
  <si>
    <t>7571</t>
  </si>
  <si>
    <t>S Bruce Smith School</t>
  </si>
  <si>
    <t>7251</t>
  </si>
  <si>
    <t>Sakaw School</t>
  </si>
  <si>
    <t>7235</t>
  </si>
  <si>
    <t>Satoo School</t>
  </si>
  <si>
    <t>7171</t>
  </si>
  <si>
    <t>Scott Robertson School</t>
  </si>
  <si>
    <t>1929</t>
  </si>
  <si>
    <t>Shauna May Seneca School</t>
  </si>
  <si>
    <t>7238</t>
  </si>
  <si>
    <t>2172</t>
  </si>
  <si>
    <t>Soraya Hafez School</t>
  </si>
  <si>
    <t>7537</t>
  </si>
  <si>
    <t>Spruce Avenue School</t>
  </si>
  <si>
    <t>7532</t>
  </si>
  <si>
    <t>Steele Heights School</t>
  </si>
  <si>
    <t>7241</t>
  </si>
  <si>
    <t>Steinhauer School</t>
  </si>
  <si>
    <t>7553</t>
  </si>
  <si>
    <t>Stratford Elementary/Junior High School</t>
  </si>
  <si>
    <t>7054</t>
  </si>
  <si>
    <t>Strathcona School</t>
  </si>
  <si>
    <t>1928</t>
  </si>
  <si>
    <t>Svend Hansen School</t>
  </si>
  <si>
    <t>7243</t>
  </si>
  <si>
    <t>Sweet Grass School</t>
  </si>
  <si>
    <t>7570</t>
  </si>
  <si>
    <t>T D Baker School</t>
  </si>
  <si>
    <t>7911</t>
  </si>
  <si>
    <t>Talmud Torah School</t>
  </si>
  <si>
    <t>7772</t>
  </si>
  <si>
    <t>Tevie Miller Heritage School Program</t>
  </si>
  <si>
    <t>0018</t>
  </si>
  <si>
    <t>The Academy at King Edward</t>
  </si>
  <si>
    <t>2169</t>
  </si>
  <si>
    <t>Thelma Chalifoux School</t>
  </si>
  <si>
    <t>7216</t>
  </si>
  <si>
    <t>7270</t>
  </si>
  <si>
    <t>Tipaskan School</t>
  </si>
  <si>
    <t>0325</t>
  </si>
  <si>
    <t>Transitions at the Y</t>
  </si>
  <si>
    <t>7280</t>
  </si>
  <si>
    <t>Velma E. Baker School</t>
  </si>
  <si>
    <t>7557</t>
  </si>
  <si>
    <t>Vernon Barford School</t>
  </si>
  <si>
    <t>7055</t>
  </si>
  <si>
    <t>Victoria School</t>
  </si>
  <si>
    <t>7050</t>
  </si>
  <si>
    <t>Vimy Ridge</t>
  </si>
  <si>
    <t>7177</t>
  </si>
  <si>
    <t>Virginia Park School</t>
  </si>
  <si>
    <t>7057</t>
  </si>
  <si>
    <t>W P Wagner School</t>
  </si>
  <si>
    <t>7189</t>
  </si>
  <si>
    <t>Waverley School</t>
  </si>
  <si>
    <t>7265</t>
  </si>
  <si>
    <t>Weinlos School</t>
  </si>
  <si>
    <t>7197</t>
  </si>
  <si>
    <t>Westbrook School</t>
  </si>
  <si>
    <t>7542</t>
  </si>
  <si>
    <t>7543</t>
  </si>
  <si>
    <t>Westminster School</t>
  </si>
  <si>
    <t>7544</t>
  </si>
  <si>
    <t>Westmount School</t>
  </si>
  <si>
    <t>7182</t>
  </si>
  <si>
    <t>Windsor Park School</t>
  </si>
  <si>
    <t>7569</t>
  </si>
  <si>
    <t>Winterburn School</t>
  </si>
  <si>
    <t>7198</t>
  </si>
  <si>
    <t>York School</t>
  </si>
  <si>
    <t>7213</t>
  </si>
  <si>
    <t>Youngstown School</t>
  </si>
  <si>
    <t>2064</t>
  </si>
  <si>
    <t>Youth Community Support Program</t>
  </si>
  <si>
    <t>0046</t>
  </si>
  <si>
    <t>The Elk Island Catholic Separate School Division</t>
  </si>
  <si>
    <t>2041</t>
  </si>
  <si>
    <t>Archbishop Jordan Catholic High School</t>
  </si>
  <si>
    <t>2040</t>
  </si>
  <si>
    <t>Ecole Pere Kenneth Kearns Catholic School</t>
  </si>
  <si>
    <t>2053</t>
  </si>
  <si>
    <t>Holy Redeemer Catholic School</t>
  </si>
  <si>
    <t>1156</t>
  </si>
  <si>
    <t>Holy Spirit Catholic School</t>
  </si>
  <si>
    <t>2046</t>
  </si>
  <si>
    <t>Madonna Catholic School</t>
  </si>
  <si>
    <t>4570</t>
  </si>
  <si>
    <t>Our Lady of Mount Pleasant Catholic School</t>
  </si>
  <si>
    <t>2039</t>
  </si>
  <si>
    <t>Our Lady of Perpetual Help Catholic School</t>
  </si>
  <si>
    <t>2038</t>
  </si>
  <si>
    <t>Our Lady of The Angels Catholic School</t>
  </si>
  <si>
    <t>2184</t>
  </si>
  <si>
    <t>St. André Bessette Catholic High School</t>
  </si>
  <si>
    <t>2185</t>
  </si>
  <si>
    <t>St. Isidore Learning Centre</t>
  </si>
  <si>
    <t>2034</t>
  </si>
  <si>
    <t>St. John Paul II Catholic School</t>
  </si>
  <si>
    <t>2037</t>
  </si>
  <si>
    <t>St. John XXIII Catholic School</t>
  </si>
  <si>
    <t>2051</t>
  </si>
  <si>
    <t>St. Luke Catholic School</t>
  </si>
  <si>
    <t>3670</t>
  </si>
  <si>
    <t>St. Martin's Catholic School</t>
  </si>
  <si>
    <t>3671</t>
  </si>
  <si>
    <t>St. Mary's Catholic High School</t>
  </si>
  <si>
    <t>2045</t>
  </si>
  <si>
    <t>St. Nicholas Catholic School</t>
  </si>
  <si>
    <t>4571</t>
  </si>
  <si>
    <t>St. Patrick Catholic School</t>
  </si>
  <si>
    <t>2047</t>
  </si>
  <si>
    <t>St. Theresa Catholic School</t>
  </si>
  <si>
    <t>The Elk Island School Division</t>
  </si>
  <si>
    <t>3611</t>
  </si>
  <si>
    <t>A. L. Horton Elementary School</t>
  </si>
  <si>
    <t>3301</t>
  </si>
  <si>
    <t>Ardrossan Junior Senior High School</t>
  </si>
  <si>
    <t>3340</t>
  </si>
  <si>
    <t>Bev Facey Community High School</t>
  </si>
  <si>
    <t>3324</t>
  </si>
  <si>
    <t>3409</t>
  </si>
  <si>
    <t>Bruderheim Community School</t>
  </si>
  <si>
    <t>3332</t>
  </si>
  <si>
    <t>Castle School</t>
  </si>
  <si>
    <t>3330</t>
  </si>
  <si>
    <t>Clover Bar Junior High School</t>
  </si>
  <si>
    <t>2182</t>
  </si>
  <si>
    <t>Davidson Creek Elementary School</t>
  </si>
  <si>
    <t>3303</t>
  </si>
  <si>
    <t>3325</t>
  </si>
  <si>
    <t>Ecole Campbelltown School</t>
  </si>
  <si>
    <t>1753</t>
  </si>
  <si>
    <t>Ecole Parc Elementaire</t>
  </si>
  <si>
    <t>1362</t>
  </si>
  <si>
    <t>EIPS Centre for Educational Alternatives</t>
  </si>
  <si>
    <t>1234</t>
  </si>
  <si>
    <t>EIPS Home Education</t>
  </si>
  <si>
    <t>1599</t>
  </si>
  <si>
    <t>Elk Island Youth Ranch Learning Centre</t>
  </si>
  <si>
    <t>3321</t>
  </si>
  <si>
    <t>F. R. Haythorne School</t>
  </si>
  <si>
    <t>3397</t>
  </si>
  <si>
    <t>Fort Saskatchewan Christian School</t>
  </si>
  <si>
    <t>3313</t>
  </si>
  <si>
    <t>Fort Saskatchewan Elementary School</t>
  </si>
  <si>
    <t>3311</t>
  </si>
  <si>
    <t>Fort Saskatchewan High School</t>
  </si>
  <si>
    <t>3310</t>
  </si>
  <si>
    <t>Fort Saskatchewan Next Step II Outreach School</t>
  </si>
  <si>
    <t>3335</t>
  </si>
  <si>
    <t>Fultonvale Elementary Junior High School</t>
  </si>
  <si>
    <t>3333</t>
  </si>
  <si>
    <t>Glen Allan Elementary School</t>
  </si>
  <si>
    <t>2252</t>
  </si>
  <si>
    <t>Heritage Hills Elementary School</t>
  </si>
  <si>
    <t>3341</t>
  </si>
  <si>
    <t>James Mowat School</t>
  </si>
  <si>
    <t>1221</t>
  </si>
  <si>
    <t>Lakeland Ridge School</t>
  </si>
  <si>
    <t>3405</t>
  </si>
  <si>
    <t>Lamont Elementary School</t>
  </si>
  <si>
    <t>3404</t>
  </si>
  <si>
    <t>Lamont High School</t>
  </si>
  <si>
    <t>3329</t>
  </si>
  <si>
    <t>Mills Haven Elementary School</t>
  </si>
  <si>
    <t>3406</t>
  </si>
  <si>
    <t>Mundare School</t>
  </si>
  <si>
    <t>1233</t>
  </si>
  <si>
    <t>NSonline</t>
  </si>
  <si>
    <t>3326</t>
  </si>
  <si>
    <t>Pine Street School</t>
  </si>
  <si>
    <t>3615</t>
  </si>
  <si>
    <t>Pleasant Ridge Colony School</t>
  </si>
  <si>
    <t>1752</t>
  </si>
  <si>
    <t>Rudolph Hennig Junior High School</t>
  </si>
  <si>
    <t>3339</t>
  </si>
  <si>
    <t>Salisbury Composite (Evening)</t>
  </si>
  <si>
    <t>3322</t>
  </si>
  <si>
    <t>Salisbury Composite High School</t>
  </si>
  <si>
    <t>2399</t>
  </si>
  <si>
    <t>Salisbury STEPS Junior/Senior High school</t>
  </si>
  <si>
    <t>3323</t>
  </si>
  <si>
    <t>Sherwood Heights Junior High School</t>
  </si>
  <si>
    <t>3307</t>
  </si>
  <si>
    <t>Sherwood Park Next Step I Outreach School</t>
  </si>
  <si>
    <t>2136</t>
  </si>
  <si>
    <t>SouthPointe School</t>
  </si>
  <si>
    <t>3395</t>
  </si>
  <si>
    <t>Strathcona Christian Academy</t>
  </si>
  <si>
    <t>1367</t>
  </si>
  <si>
    <t>Strathcona Christian Academy Elementary School</t>
  </si>
  <si>
    <t>3304</t>
  </si>
  <si>
    <t>Uncas Elementary School</t>
  </si>
  <si>
    <t>3610</t>
  </si>
  <si>
    <t>Vegreville Composite High School</t>
  </si>
  <si>
    <t>0401</t>
  </si>
  <si>
    <t>Vegreville Next Step III Outreach School</t>
  </si>
  <si>
    <t>3334</t>
  </si>
  <si>
    <t>Wes Hosford School</t>
  </si>
  <si>
    <t>3328</t>
  </si>
  <si>
    <t>Westboro Elementary School</t>
  </si>
  <si>
    <t>3316</t>
  </si>
  <si>
    <t>Win Ferguson Community School</t>
  </si>
  <si>
    <t>3336</t>
  </si>
  <si>
    <t>Woodbridge Farms School</t>
  </si>
  <si>
    <t>0048</t>
  </si>
  <si>
    <t>The Evergreen Catholic Separate School Division</t>
  </si>
  <si>
    <t>2030</t>
  </si>
  <si>
    <t>Father Gerard Redmond Community Catholic School</t>
  </si>
  <si>
    <t>1268</t>
  </si>
  <si>
    <t>1130</t>
  </si>
  <si>
    <t>St. Gregory Catholic School</t>
  </si>
  <si>
    <t>2272</t>
  </si>
  <si>
    <t>2271</t>
  </si>
  <si>
    <t>St. Joseph Catholic School</t>
  </si>
  <si>
    <t>2273</t>
  </si>
  <si>
    <t>St. Marguerite Catholic School</t>
  </si>
  <si>
    <t>2471</t>
  </si>
  <si>
    <t>St. Mary Catholic School</t>
  </si>
  <si>
    <t>1684</t>
  </si>
  <si>
    <t>St. Peter the Apostle Catholic High School</t>
  </si>
  <si>
    <t>1979</t>
  </si>
  <si>
    <t>St. Teresa Catholic Junior High Learning Centre</t>
  </si>
  <si>
    <t>1444</t>
  </si>
  <si>
    <t>St. Teresa Catholic Learning Centre</t>
  </si>
  <si>
    <t>2274</t>
  </si>
  <si>
    <t>St. Thomas Aquinas Catholic School</t>
  </si>
  <si>
    <t>1180</t>
  </si>
  <si>
    <t>The Foothills School Division</t>
  </si>
  <si>
    <t>5323</t>
  </si>
  <si>
    <t>Alberta High School of Fine Arts</t>
  </si>
  <si>
    <t>5318</t>
  </si>
  <si>
    <t>Big Rock School</t>
  </si>
  <si>
    <t>5301</t>
  </si>
  <si>
    <t>Blackie School</t>
  </si>
  <si>
    <t>5312</t>
  </si>
  <si>
    <t>C Ian McLaren School</t>
  </si>
  <si>
    <t>5326</t>
  </si>
  <si>
    <t>Cameron Crossing School</t>
  </si>
  <si>
    <t>5314</t>
  </si>
  <si>
    <t>Cayley Colony School</t>
  </si>
  <si>
    <t>5302</t>
  </si>
  <si>
    <t>Cayley School</t>
  </si>
  <si>
    <t>5321</t>
  </si>
  <si>
    <t>Dr Morris Gibson School</t>
  </si>
  <si>
    <t>5322</t>
  </si>
  <si>
    <t>Ecole Secondaire Highwood High School</t>
  </si>
  <si>
    <t>5319</t>
  </si>
  <si>
    <t>Foothills Composite High School</t>
  </si>
  <si>
    <t>1131</t>
  </si>
  <si>
    <t>Heritage Heights School</t>
  </si>
  <si>
    <t>5306</t>
  </si>
  <si>
    <t>High River Colony School</t>
  </si>
  <si>
    <t>5324</t>
  </si>
  <si>
    <t>Home Education</t>
  </si>
  <si>
    <t>1724</t>
  </si>
  <si>
    <t>5313</t>
  </si>
  <si>
    <t>Longview School</t>
  </si>
  <si>
    <t>5315</t>
  </si>
  <si>
    <t>MacMillan Colony School</t>
  </si>
  <si>
    <t>2250</t>
  </si>
  <si>
    <t>Meadow Ridge School</t>
  </si>
  <si>
    <t>5307</t>
  </si>
  <si>
    <t>Millarville Community School</t>
  </si>
  <si>
    <t>5310</t>
  </si>
  <si>
    <t>Oilfields High School</t>
  </si>
  <si>
    <t>5308</t>
  </si>
  <si>
    <t>Okotoks Junior High School</t>
  </si>
  <si>
    <t>5303</t>
  </si>
  <si>
    <t>Percy Pegler Elementary School</t>
  </si>
  <si>
    <t>5309</t>
  </si>
  <si>
    <t>Red Deer Lake School</t>
  </si>
  <si>
    <t>5316</t>
  </si>
  <si>
    <t>Right Honorable Joe Clark School</t>
  </si>
  <si>
    <t>5304</t>
  </si>
  <si>
    <t>Senator Riley School</t>
  </si>
  <si>
    <t>5305</t>
  </si>
  <si>
    <t>Spitzee Elementary School</t>
  </si>
  <si>
    <t>5311</t>
  </si>
  <si>
    <t>Turner Valley Elementary Junior High School</t>
  </si>
  <si>
    <t>1630</t>
  </si>
  <si>
    <t>4160</t>
  </si>
  <si>
    <t>The Fort McMurray Roman Catholic Separate School Division</t>
  </si>
  <si>
    <t>2199</t>
  </si>
  <si>
    <t>Elsie Yanik Catholic School</t>
  </si>
  <si>
    <t>1899</t>
  </si>
  <si>
    <t>Father Patrick Mercredi Community School</t>
  </si>
  <si>
    <t>1885</t>
  </si>
  <si>
    <t>Fr M Beauregard Education Community Centre</t>
  </si>
  <si>
    <t>1872</t>
  </si>
  <si>
    <t>Good Shepherd Community School</t>
  </si>
  <si>
    <t>1564</t>
  </si>
  <si>
    <t>Holy Trinity High School</t>
  </si>
  <si>
    <t>2388</t>
  </si>
  <si>
    <t>Immaculate Heart of Mary Catholic School</t>
  </si>
  <si>
    <t>1871</t>
  </si>
  <si>
    <t>Our Lady of the Rivers Catholic School</t>
  </si>
  <si>
    <t>1866</t>
  </si>
  <si>
    <t>Sister Mary Phillps Elementary School</t>
  </si>
  <si>
    <t>1894</t>
  </si>
  <si>
    <t>St. Anne School</t>
  </si>
  <si>
    <t>1890</t>
  </si>
  <si>
    <t>St. Gabriel School</t>
  </si>
  <si>
    <t>1767</t>
  </si>
  <si>
    <t>St. Kateri School</t>
  </si>
  <si>
    <t>1354</t>
  </si>
  <si>
    <t>St. Martha Catholic School</t>
  </si>
  <si>
    <t>1873</t>
  </si>
  <si>
    <t>St. Paul's Elementary School</t>
  </si>
  <si>
    <t>3260</t>
  </si>
  <si>
    <t>The Fort McMurray School Division</t>
  </si>
  <si>
    <t>1843</t>
  </si>
  <si>
    <t>Beacon Hill School</t>
  </si>
  <si>
    <t>2075</t>
  </si>
  <si>
    <t>Christina Gordon Public School</t>
  </si>
  <si>
    <t>2074</t>
  </si>
  <si>
    <t>Dave McNeilly Public School</t>
  </si>
  <si>
    <t>1841</t>
  </si>
  <si>
    <t>Dr Karl A Clark Elementary</t>
  </si>
  <si>
    <t>1854</t>
  </si>
  <si>
    <t>Ecole Dickinsfield School</t>
  </si>
  <si>
    <t>1559</t>
  </si>
  <si>
    <t>École McTavish Public High School</t>
  </si>
  <si>
    <t>1864</t>
  </si>
  <si>
    <t>Fort McMurray Christian School</t>
  </si>
  <si>
    <t>1845</t>
  </si>
  <si>
    <t>Fort McMurray Composite High School</t>
  </si>
  <si>
    <t>1256</t>
  </si>
  <si>
    <t>Fort McMurray Islamic School</t>
  </si>
  <si>
    <t>1858</t>
  </si>
  <si>
    <t>Frank Spragins High School</t>
  </si>
  <si>
    <t>1853</t>
  </si>
  <si>
    <t>Greely Road School</t>
  </si>
  <si>
    <t>1844</t>
  </si>
  <si>
    <t>Thickwood Heights School</t>
  </si>
  <si>
    <t>1855</t>
  </si>
  <si>
    <t>Timberlea Public School</t>
  </si>
  <si>
    <t>1765</t>
  </si>
  <si>
    <t>Walter &amp; Gladys Hill Public School</t>
  </si>
  <si>
    <t>1848</t>
  </si>
  <si>
    <t>Westview School</t>
  </si>
  <si>
    <t>1857</t>
  </si>
  <si>
    <t>Westwood Community High School</t>
  </si>
  <si>
    <t>1250</t>
  </si>
  <si>
    <t>The Fort Vermilion School Division</t>
  </si>
  <si>
    <t>1713</t>
  </si>
  <si>
    <t>Blue Hills Community School</t>
  </si>
  <si>
    <t>1701</t>
  </si>
  <si>
    <t>Buffalo Head Prairie School</t>
  </si>
  <si>
    <t>1709</t>
  </si>
  <si>
    <t>Florence MacDougall Community School</t>
  </si>
  <si>
    <t>1702</t>
  </si>
  <si>
    <t>Fort Vermilion Public School</t>
  </si>
  <si>
    <t>1703</t>
  </si>
  <si>
    <t>High Level Public School</t>
  </si>
  <si>
    <t>1712</t>
  </si>
  <si>
    <t>Hill Crest Community School</t>
  </si>
  <si>
    <t>1704</t>
  </si>
  <si>
    <t>La Crete Public School</t>
  </si>
  <si>
    <t>1742</t>
  </si>
  <si>
    <t>Northern Outreach Center</t>
  </si>
  <si>
    <t>2454</t>
  </si>
  <si>
    <t>Pathways School</t>
  </si>
  <si>
    <t>1705</t>
  </si>
  <si>
    <t>Rainbow Lake School</t>
  </si>
  <si>
    <t>1714</t>
  </si>
  <si>
    <t>Ridgeview Central School</t>
  </si>
  <si>
    <t>1706</t>
  </si>
  <si>
    <t>Rocky Lane School</t>
  </si>
  <si>
    <t>1794</t>
  </si>
  <si>
    <t>Sand Hills Elementary School</t>
  </si>
  <si>
    <t>0487</t>
  </si>
  <si>
    <t>Spirit of the North Community School</t>
  </si>
  <si>
    <t>1770</t>
  </si>
  <si>
    <t>St. Mary’s Catholic School</t>
  </si>
  <si>
    <t>1791</t>
  </si>
  <si>
    <t>Upper Hay River School</t>
  </si>
  <si>
    <t>The Golden Hills School Division</t>
  </si>
  <si>
    <t>5601</t>
  </si>
  <si>
    <t>Acme School</t>
  </si>
  <si>
    <t>2162</t>
  </si>
  <si>
    <t>Anchors Outreach School</t>
  </si>
  <si>
    <t>5606</t>
  </si>
  <si>
    <t>Britestone Hutterite Colony</t>
  </si>
  <si>
    <t>5602</t>
  </si>
  <si>
    <t>Carbon School</t>
  </si>
  <si>
    <t>5501</t>
  </si>
  <si>
    <t>Carseland School</t>
  </si>
  <si>
    <t>2243</t>
  </si>
  <si>
    <t>Country Hills School</t>
  </si>
  <si>
    <t>5523</t>
  </si>
  <si>
    <t>Crawling Valley School</t>
  </si>
  <si>
    <t>5519</t>
  </si>
  <si>
    <t>Crowther Memorial Junior High School</t>
  </si>
  <si>
    <t>5607</t>
  </si>
  <si>
    <t>Dr Elliott Community School</t>
  </si>
  <si>
    <t>5526</t>
  </si>
  <si>
    <t>Drumheller Outreach</t>
  </si>
  <si>
    <t>5725</t>
  </si>
  <si>
    <t>Drumheller Valley Secondary School</t>
  </si>
  <si>
    <t>5517</t>
  </si>
  <si>
    <t>École Brentwood Elementary School</t>
  </si>
  <si>
    <t>2196</t>
  </si>
  <si>
    <t>George Freeman School</t>
  </si>
  <si>
    <t>0341</t>
  </si>
  <si>
    <t>Glenrose Colony School</t>
  </si>
  <si>
    <t>0384</t>
  </si>
  <si>
    <t>Golden Hills Learning Academy</t>
  </si>
  <si>
    <t>1077</t>
  </si>
  <si>
    <t>Green Acres School</t>
  </si>
  <si>
    <t>5726</t>
  </si>
  <si>
    <t>Greentree School</t>
  </si>
  <si>
    <t>5515</t>
  </si>
  <si>
    <t>Hines School</t>
  </si>
  <si>
    <t>5615</t>
  </si>
  <si>
    <t>Huxley Colony School</t>
  </si>
  <si>
    <t>0592</t>
  </si>
  <si>
    <t>Mountainview School</t>
  </si>
  <si>
    <t>1016</t>
  </si>
  <si>
    <t>NorthStar Academy</t>
  </si>
  <si>
    <t>5520</t>
  </si>
  <si>
    <t>Poplar Row School</t>
  </si>
  <si>
    <t>5691</t>
  </si>
  <si>
    <t>Prairie Christian Academy</t>
  </si>
  <si>
    <t>5516</t>
  </si>
  <si>
    <t>Rising Sun School</t>
  </si>
  <si>
    <t>5522</t>
  </si>
  <si>
    <t>Rosebud Creek School</t>
  </si>
  <si>
    <t>5514</t>
  </si>
  <si>
    <t>Rosebud River School</t>
  </si>
  <si>
    <t>5512</t>
  </si>
  <si>
    <t>Sandhills School</t>
  </si>
  <si>
    <t>5511</t>
  </si>
  <si>
    <t>Sayre School</t>
  </si>
  <si>
    <t>0660</t>
  </si>
  <si>
    <t>Strathmore High School</t>
  </si>
  <si>
    <t>5527</t>
  </si>
  <si>
    <t>Strathmore Store Front School</t>
  </si>
  <si>
    <t>1360</t>
  </si>
  <si>
    <t>Three Hills Colony School</t>
  </si>
  <si>
    <t>5610</t>
  </si>
  <si>
    <t>Three Hills School</t>
  </si>
  <si>
    <t>5513</t>
  </si>
  <si>
    <t>Towers School</t>
  </si>
  <si>
    <t>1433</t>
  </si>
  <si>
    <t>Trinity Christian Academy</t>
  </si>
  <si>
    <t>5612</t>
  </si>
  <si>
    <t>Trochu Valley School</t>
  </si>
  <si>
    <t>0342</t>
  </si>
  <si>
    <t>Twin Creeks School</t>
  </si>
  <si>
    <t>5616</t>
  </si>
  <si>
    <t>Valleyview Colony School</t>
  </si>
  <si>
    <t>5510</t>
  </si>
  <si>
    <t>2071</t>
  </si>
  <si>
    <t>Wheatland Crossing School</t>
  </si>
  <si>
    <t>5525</t>
  </si>
  <si>
    <t>Wheatland Elementary School</t>
  </si>
  <si>
    <t>0575</t>
  </si>
  <si>
    <t>Wintering Hills</t>
  </si>
  <si>
    <t>4130</t>
  </si>
  <si>
    <t>The Grande Prairie Roman Catholic Separate School Division</t>
  </si>
  <si>
    <t>2437</t>
  </si>
  <si>
    <t>École Catholique Louis Riel</t>
  </si>
  <si>
    <t>Ecole St. Gerard Catholic School</t>
  </si>
  <si>
    <t>1172</t>
  </si>
  <si>
    <t>Holy Cross Catholic School</t>
  </si>
  <si>
    <t>1454</t>
  </si>
  <si>
    <t>Mother Teresa School</t>
  </si>
  <si>
    <t>1955</t>
  </si>
  <si>
    <t>St. Catherine Catholic School</t>
  </si>
  <si>
    <t>1176</t>
  </si>
  <si>
    <t>St. Clement Catholic School</t>
  </si>
  <si>
    <t>1138</t>
  </si>
  <si>
    <t>St. John Bosco Catholic School</t>
  </si>
  <si>
    <t>2157</t>
  </si>
  <si>
    <t>St. John Paul II Catholic School / Faculté St. Jean-Paul II</t>
  </si>
  <si>
    <t>1178</t>
  </si>
  <si>
    <t>St. Joseph Catholic High School</t>
  </si>
  <si>
    <t>1181</t>
  </si>
  <si>
    <t>1170</t>
  </si>
  <si>
    <t>1171</t>
  </si>
  <si>
    <t>St. Mary's Catholic School</t>
  </si>
  <si>
    <t>1370</t>
  </si>
  <si>
    <t>Ste. Marie Catholic School</t>
  </si>
  <si>
    <t>3240</t>
  </si>
  <si>
    <t>The Grande Prairie School Division</t>
  </si>
  <si>
    <t>1142</t>
  </si>
  <si>
    <t>Alexander Forbes School</t>
  </si>
  <si>
    <t>1152</t>
  </si>
  <si>
    <t>Aspen Grove School</t>
  </si>
  <si>
    <t>1140</t>
  </si>
  <si>
    <t>Avondale School</t>
  </si>
  <si>
    <t>1153</t>
  </si>
  <si>
    <t>Bridge Network</t>
  </si>
  <si>
    <t>1761</t>
  </si>
  <si>
    <t>Charles Spencer High School</t>
  </si>
  <si>
    <t>1150</t>
  </si>
  <si>
    <t>Crystal Park School</t>
  </si>
  <si>
    <t>1372</t>
  </si>
  <si>
    <t>Derek Taylor School</t>
  </si>
  <si>
    <t>1144</t>
  </si>
  <si>
    <t>École Montrose School</t>
  </si>
  <si>
    <t>1192</t>
  </si>
  <si>
    <t>Grande Prairie Christian School</t>
  </si>
  <si>
    <t>1141</t>
  </si>
  <si>
    <t>Grande Prairie Composite High School</t>
  </si>
  <si>
    <t>1154</t>
  </si>
  <si>
    <t>Grande Prairie Public School District #2357 Home Schooling</t>
  </si>
  <si>
    <t>1143</t>
  </si>
  <si>
    <t>Hillside Community School</t>
  </si>
  <si>
    <t>0481</t>
  </si>
  <si>
    <t>I.V. Macklin Public School</t>
  </si>
  <si>
    <t>2077</t>
  </si>
  <si>
    <t>Isabel Campbell Public School</t>
  </si>
  <si>
    <t>1461</t>
  </si>
  <si>
    <t>Maude Clifford Public School</t>
  </si>
  <si>
    <t>1147</t>
  </si>
  <si>
    <t>Parkside Montessori</t>
  </si>
  <si>
    <t>2076</t>
  </si>
  <si>
    <t>Riverstone Public School</t>
  </si>
  <si>
    <t>2148</t>
  </si>
  <si>
    <t>Roy Bickell Public School</t>
  </si>
  <si>
    <t>1146</t>
  </si>
  <si>
    <t>Swanavon School</t>
  </si>
  <si>
    <t>1241</t>
  </si>
  <si>
    <t>The Link</t>
  </si>
  <si>
    <t>1085</t>
  </si>
  <si>
    <t>The Grande Yellowhead School Division</t>
  </si>
  <si>
    <t>2012</t>
  </si>
  <si>
    <t>Crescent Valley School</t>
  </si>
  <si>
    <t>2013</t>
  </si>
  <si>
    <t>Ecole Mountain View School</t>
  </si>
  <si>
    <t>2004</t>
  </si>
  <si>
    <t>Ecole Pine Grove School</t>
  </si>
  <si>
    <t>2009</t>
  </si>
  <si>
    <t>Evansview School</t>
  </si>
  <si>
    <t>2007</t>
  </si>
  <si>
    <t>2010</t>
  </si>
  <si>
    <t>Fulham School</t>
  </si>
  <si>
    <t>2008</t>
  </si>
  <si>
    <t>Grand Trunk High School</t>
  </si>
  <si>
    <t>2042</t>
  </si>
  <si>
    <t>Grande Cache Community High School</t>
  </si>
  <si>
    <t>2026</t>
  </si>
  <si>
    <t>Grande Yellowhead Regional Division Home Schooling</t>
  </si>
  <si>
    <t>2011</t>
  </si>
  <si>
    <t>Harry Collinge High School</t>
  </si>
  <si>
    <t>2036</t>
  </si>
  <si>
    <t>Jasper Elementary School</t>
  </si>
  <si>
    <t>2035</t>
  </si>
  <si>
    <t>Jasper Junior Senior High School</t>
  </si>
  <si>
    <t>1266</t>
  </si>
  <si>
    <t>Mary Bergeron Elementary School</t>
  </si>
  <si>
    <t>2015</t>
  </si>
  <si>
    <t>Niton Central School</t>
  </si>
  <si>
    <t>2002</t>
  </si>
  <si>
    <t>Parkland Composite High School</t>
  </si>
  <si>
    <t>2044</t>
  </si>
  <si>
    <t>Sheldon Coates Elementary School</t>
  </si>
  <si>
    <t>2043</t>
  </si>
  <si>
    <t>Summitview School</t>
  </si>
  <si>
    <t>2027</t>
  </si>
  <si>
    <t>The Learning Connection - Edson</t>
  </si>
  <si>
    <t>1731</t>
  </si>
  <si>
    <t>The Learning Connection - Evansburg</t>
  </si>
  <si>
    <t>0327</t>
  </si>
  <si>
    <t>The Learning Connection - Grande Cache</t>
  </si>
  <si>
    <t>2028</t>
  </si>
  <si>
    <t>The Learning Connection - Hinton</t>
  </si>
  <si>
    <t>2163</t>
  </si>
  <si>
    <t>The Learning Connection - Jasper</t>
  </si>
  <si>
    <t>2023</t>
  </si>
  <si>
    <t>Westhaven Elementary School</t>
  </si>
  <si>
    <t>2018</t>
  </si>
  <si>
    <t>The Grasslands School Division</t>
  </si>
  <si>
    <t>6701</t>
  </si>
  <si>
    <t>Alcoma School</t>
  </si>
  <si>
    <t>6702</t>
  </si>
  <si>
    <t>Bassano School</t>
  </si>
  <si>
    <t>6711</t>
  </si>
  <si>
    <t>Bow City Colony School</t>
  </si>
  <si>
    <t>6740</t>
  </si>
  <si>
    <t>Brooks Composite High School</t>
  </si>
  <si>
    <t>6741</t>
  </si>
  <si>
    <t>Brooks Junior High School</t>
  </si>
  <si>
    <t>6790</t>
  </si>
  <si>
    <t>Clearview Colony School</t>
  </si>
  <si>
    <t>6703</t>
  </si>
  <si>
    <t>Duchess School</t>
  </si>
  <si>
    <t>6744</t>
  </si>
  <si>
    <t>Eastbrook Elementary School</t>
  </si>
  <si>
    <t>6717</t>
  </si>
  <si>
    <t>Fairville Colony School</t>
  </si>
  <si>
    <t>6705</t>
  </si>
  <si>
    <t>Gem School</t>
  </si>
  <si>
    <t>6745</t>
  </si>
  <si>
    <t>Griffin Park School</t>
  </si>
  <si>
    <t>1122</t>
  </si>
  <si>
    <t>Lathom Colony School</t>
  </si>
  <si>
    <t>6712</t>
  </si>
  <si>
    <t>Newell Colony School</t>
  </si>
  <si>
    <t>6704</t>
  </si>
  <si>
    <t>Rolling Hills School</t>
  </si>
  <si>
    <t>6708</t>
  </si>
  <si>
    <t>Rosemary School</t>
  </si>
  <si>
    <t>6713</t>
  </si>
  <si>
    <t>Springside Colony School</t>
  </si>
  <si>
    <t>6791</t>
  </si>
  <si>
    <t>Springview Colony School</t>
  </si>
  <si>
    <t>6718</t>
  </si>
  <si>
    <t>Sunrise School</t>
  </si>
  <si>
    <t>6709</t>
  </si>
  <si>
    <t>Tilley School</t>
  </si>
  <si>
    <t>1773</t>
  </si>
  <si>
    <t>Uplands Elementary School</t>
  </si>
  <si>
    <t>The Greater North Central Francophone Education Region</t>
  </si>
  <si>
    <t>1371</t>
  </si>
  <si>
    <t>1467</t>
  </si>
  <si>
    <t>École Alexandre-Taché</t>
  </si>
  <si>
    <t>1870</t>
  </si>
  <si>
    <t>École Boréale</t>
  </si>
  <si>
    <t>2536</t>
  </si>
  <si>
    <t>1986</t>
  </si>
  <si>
    <t>École Claudette-et-Denis-Tardif</t>
  </si>
  <si>
    <t>1907</t>
  </si>
  <si>
    <t>École des Fondateurs</t>
  </si>
  <si>
    <t>1050</t>
  </si>
  <si>
    <t>2434</t>
  </si>
  <si>
    <t>1466</t>
  </si>
  <si>
    <t>École Joseph-Moreau</t>
  </si>
  <si>
    <t>2537</t>
  </si>
  <si>
    <t>2538</t>
  </si>
  <si>
    <t>8098</t>
  </si>
  <si>
    <t>École Michaëlle-Jean</t>
  </si>
  <si>
    <t>8007</t>
  </si>
  <si>
    <t>8002</t>
  </si>
  <si>
    <t>0026</t>
  </si>
  <si>
    <t>1786</t>
  </si>
  <si>
    <t xml:space="preserve">École Quatre-Saisons </t>
  </si>
  <si>
    <t>0438</t>
  </si>
  <si>
    <t>1959</t>
  </si>
  <si>
    <t>École Sans-Frontières</t>
  </si>
  <si>
    <t>8025</t>
  </si>
  <si>
    <t>4077</t>
  </si>
  <si>
    <t>The Greater St. Albert Roman Catholic Separate School Division</t>
  </si>
  <si>
    <t>2575</t>
  </si>
  <si>
    <t>Albert Lacombe Catholic Elementary School</t>
  </si>
  <si>
    <t>2580</t>
  </si>
  <si>
    <t>Bertha Kennedy Catholic Community School</t>
  </si>
  <si>
    <t>2588</t>
  </si>
  <si>
    <t>2587</t>
  </si>
  <si>
    <t>2577</t>
  </si>
  <si>
    <t>École Secondaire St. Albert Catholic High School</t>
  </si>
  <si>
    <t>2572</t>
  </si>
  <si>
    <t>Georges H Primeau School</t>
  </si>
  <si>
    <t>2574</t>
  </si>
  <si>
    <t>Greater St. Albert Catholic Summer School</t>
  </si>
  <si>
    <t>2578</t>
  </si>
  <si>
    <t>Holy Family Catholic School</t>
  </si>
  <si>
    <t>0338</t>
  </si>
  <si>
    <t>J. J. Nearing Catholic Elementary School</t>
  </si>
  <si>
    <t>2535</t>
  </si>
  <si>
    <t>Legal School</t>
  </si>
  <si>
    <t>2594</t>
  </si>
  <si>
    <t>Morinville Community High School</t>
  </si>
  <si>
    <t>2584</t>
  </si>
  <si>
    <t>Neil M Ross Catholic School</t>
  </si>
  <si>
    <t>2571</t>
  </si>
  <si>
    <t>Notre Dame Elementary School</t>
  </si>
  <si>
    <t>2589</t>
  </si>
  <si>
    <t>Richard S Fowler Catholic Junior High School</t>
  </si>
  <si>
    <t>2187</t>
  </si>
  <si>
    <t>Sister Alphonse Academy</t>
  </si>
  <si>
    <t>0378</t>
  </si>
  <si>
    <t>St. Gabriel Education Centre</t>
  </si>
  <si>
    <t>2186</t>
  </si>
  <si>
    <t>St. Kateri Tekakwitha Academy</t>
  </si>
  <si>
    <t>2579</t>
  </si>
  <si>
    <t>Vincent J Maloney Catholic School</t>
  </si>
  <si>
    <t>The High Prairie School Division</t>
  </si>
  <si>
    <t>1615</t>
  </si>
  <si>
    <t>C J Schurter Elementary School</t>
  </si>
  <si>
    <t>1614</t>
  </si>
  <si>
    <t>E G Wahlstrom School</t>
  </si>
  <si>
    <t>1606</t>
  </si>
  <si>
    <t>E W Pratt High School</t>
  </si>
  <si>
    <t>1602</t>
  </si>
  <si>
    <t>Georges P Vanier School</t>
  </si>
  <si>
    <t>1608</t>
  </si>
  <si>
    <t>High Prairie Elementary School</t>
  </si>
  <si>
    <t>1610</t>
  </si>
  <si>
    <t>Joussard School</t>
  </si>
  <si>
    <t>1524</t>
  </si>
  <si>
    <t>Kinuso Outreach Program</t>
  </si>
  <si>
    <t>1611</t>
  </si>
  <si>
    <t>Kinuso School</t>
  </si>
  <si>
    <t>0375</t>
  </si>
  <si>
    <t>Lakeside Outreach School</t>
  </si>
  <si>
    <t>1607</t>
  </si>
  <si>
    <t>Prairie River Junior High School</t>
  </si>
  <si>
    <t>0435</t>
  </si>
  <si>
    <t>Prairie View Outreach School</t>
  </si>
  <si>
    <t>1616</t>
  </si>
  <si>
    <t>Roland Michener Secondary School</t>
  </si>
  <si>
    <t>1635</t>
  </si>
  <si>
    <t>Routhier School</t>
  </si>
  <si>
    <t>0021</t>
  </si>
  <si>
    <t>The Holy Family Catholic Separate School Division</t>
  </si>
  <si>
    <t>1671</t>
  </si>
  <si>
    <t>Ecole Providence School</t>
  </si>
  <si>
    <t>1573</t>
  </si>
  <si>
    <t>Glenmary School</t>
  </si>
  <si>
    <t>1572</t>
  </si>
  <si>
    <t>0311</t>
  </si>
  <si>
    <t>Holy Family Cyber High School</t>
  </si>
  <si>
    <t>1570</t>
  </si>
  <si>
    <t>1574</t>
  </si>
  <si>
    <t>Rosary Roman Catholic Separate School</t>
  </si>
  <si>
    <t>1670</t>
  </si>
  <si>
    <t>St. Andrew's School</t>
  </si>
  <si>
    <t>1619</t>
  </si>
  <si>
    <t>St. Francis Holistic Learning Centre</t>
  </si>
  <si>
    <t>1270</t>
  </si>
  <si>
    <t>St. Stephens Catholic School</t>
  </si>
  <si>
    <t>4481</t>
  </si>
  <si>
    <t>The Holy Spirit Roman Catholic Separate School Division</t>
  </si>
  <si>
    <t>1400</t>
  </si>
  <si>
    <t>CARE (Centre for Adolescent Responsibility Education) Outreach</t>
  </si>
  <si>
    <t>6476</t>
  </si>
  <si>
    <t>Catholic Central High School</t>
  </si>
  <si>
    <t>6482</t>
  </si>
  <si>
    <t>Children of St. Martha School</t>
  </si>
  <si>
    <t>6478</t>
  </si>
  <si>
    <t>Ecole St. Mary School</t>
  </si>
  <si>
    <t>6483</t>
  </si>
  <si>
    <t>Father Leonard Van Tighem School</t>
  </si>
  <si>
    <t>6475</t>
  </si>
  <si>
    <t>Our Lady of The Assumption School</t>
  </si>
  <si>
    <t>6471</t>
  </si>
  <si>
    <t>St. Catherine's School</t>
  </si>
  <si>
    <t>6481</t>
  </si>
  <si>
    <t>St. Francis Junior High School</t>
  </si>
  <si>
    <t>6470</t>
  </si>
  <si>
    <t>St. Joseph's School</t>
  </si>
  <si>
    <t>6670</t>
  </si>
  <si>
    <t>St. Mary's Roman Catholic Separate School</t>
  </si>
  <si>
    <t>6970</t>
  </si>
  <si>
    <t>St. Michaels School</t>
  </si>
  <si>
    <t>6170</t>
  </si>
  <si>
    <t>St. Michael's School</t>
  </si>
  <si>
    <t>6479</t>
  </si>
  <si>
    <t>St. Patrick Fine Arts Elementary School</t>
  </si>
  <si>
    <t>6671</t>
  </si>
  <si>
    <t>St. Patrick's Roman Catholic Separate School</t>
  </si>
  <si>
    <t>6480</t>
  </si>
  <si>
    <t>St. Paul Elementary School</t>
  </si>
  <si>
    <t>2062</t>
  </si>
  <si>
    <t>0020</t>
  </si>
  <si>
    <t>Trinity Learning Centre</t>
  </si>
  <si>
    <t>1045</t>
  </si>
  <si>
    <t>The Horizon School Division</t>
  </si>
  <si>
    <t>6523</t>
  </si>
  <si>
    <t>ACE Place Learning Centre</t>
  </si>
  <si>
    <t>1473</t>
  </si>
  <si>
    <t>Arden T. Litt Centre for Learning</t>
  </si>
  <si>
    <t>1100</t>
  </si>
  <si>
    <t>Armada Colony School</t>
  </si>
  <si>
    <t>6601</t>
  </si>
  <si>
    <t>Barnwell School</t>
  </si>
  <si>
    <t>1033</t>
  </si>
  <si>
    <t>Bluegrass Colony School</t>
  </si>
  <si>
    <t>6493</t>
  </si>
  <si>
    <t>Cameron Farms School</t>
  </si>
  <si>
    <t>6602</t>
  </si>
  <si>
    <t>Chamberlain School</t>
  </si>
  <si>
    <t>1479</t>
  </si>
  <si>
    <t>Copperfield Farms Colony School</t>
  </si>
  <si>
    <t>6614</t>
  </si>
  <si>
    <t>D. A. Ferguson Middle School</t>
  </si>
  <si>
    <t>1114</t>
  </si>
  <si>
    <t>Delco Colony School</t>
  </si>
  <si>
    <t>6608</t>
  </si>
  <si>
    <t>Dr. Hamman School</t>
  </si>
  <si>
    <t>6513</t>
  </si>
  <si>
    <t>Elmspring Colony School</t>
  </si>
  <si>
    <t>6617</t>
  </si>
  <si>
    <t>Enchant Colony School</t>
  </si>
  <si>
    <t>6603</t>
  </si>
  <si>
    <t>Enchant School</t>
  </si>
  <si>
    <t>1422</t>
  </si>
  <si>
    <t>Evergreen Colony</t>
  </si>
  <si>
    <t>6521</t>
  </si>
  <si>
    <t>Fairlane Colony School</t>
  </si>
  <si>
    <t>1997</t>
  </si>
  <si>
    <t>Goldspring Colony School</t>
  </si>
  <si>
    <t>6604</t>
  </si>
  <si>
    <t>Hays School</t>
  </si>
  <si>
    <t>6619</t>
  </si>
  <si>
    <t>Hillridge Colony School</t>
  </si>
  <si>
    <t>1129</t>
  </si>
  <si>
    <t>Horizon MAP School</t>
  </si>
  <si>
    <t>1377</t>
  </si>
  <si>
    <t>Kingsland Colony School</t>
  </si>
  <si>
    <t>6609</t>
  </si>
  <si>
    <t>L.T. Westlake School</t>
  </si>
  <si>
    <t>5415</t>
  </si>
  <si>
    <t>Lomond Colony School</t>
  </si>
  <si>
    <t>5405</t>
  </si>
  <si>
    <t>Lomond Community School</t>
  </si>
  <si>
    <t>6613</t>
  </si>
  <si>
    <t>Midland Colony School</t>
  </si>
  <si>
    <t>6504</t>
  </si>
  <si>
    <t>6522</t>
  </si>
  <si>
    <t>Miltow Colony School</t>
  </si>
  <si>
    <t>6618</t>
  </si>
  <si>
    <t>Oaklane Colony School</t>
  </si>
  <si>
    <t>0009</t>
  </si>
  <si>
    <t>Prairiehome Colony School</t>
  </si>
  <si>
    <t>6520</t>
  </si>
  <si>
    <t>River Road Colony School</t>
  </si>
  <si>
    <t>6518</t>
  </si>
  <si>
    <t>Sunnysite Colony School</t>
  </si>
  <si>
    <t>6607</t>
  </si>
  <si>
    <t>Taber Central School</t>
  </si>
  <si>
    <t>2333</t>
  </si>
  <si>
    <t>Taber Christian High School</t>
  </si>
  <si>
    <t>6616</t>
  </si>
  <si>
    <t>Taber Christian School Alternative Program</t>
  </si>
  <si>
    <t>6612</t>
  </si>
  <si>
    <t>Vauxhall Elementary School</t>
  </si>
  <si>
    <t>6611</t>
  </si>
  <si>
    <t>Vauxhall Junior Senior High School</t>
  </si>
  <si>
    <t>6606</t>
  </si>
  <si>
    <t>W. R. Myers High School</t>
  </si>
  <si>
    <t>6509</t>
  </si>
  <si>
    <t>Warner School</t>
  </si>
  <si>
    <t>4105</t>
  </si>
  <si>
    <t>The Lakeland Roman Catholic Separate School Division</t>
  </si>
  <si>
    <t>2971</t>
  </si>
  <si>
    <t>Assumption Junior Senior High School</t>
  </si>
  <si>
    <t>2976</t>
  </si>
  <si>
    <t>Ecole Dr Bernard Brosseau School</t>
  </si>
  <si>
    <t>2973</t>
  </si>
  <si>
    <t>Ecole Notre Dame High</t>
  </si>
  <si>
    <t>2994</t>
  </si>
  <si>
    <t>Holy Cross Elementary School</t>
  </si>
  <si>
    <t>1121</t>
  </si>
  <si>
    <t>2124</t>
  </si>
  <si>
    <t>2974</t>
  </si>
  <si>
    <t>2970</t>
  </si>
  <si>
    <t>3040</t>
  </si>
  <si>
    <t>The Lethbridge School Division</t>
  </si>
  <si>
    <t>1465</t>
  </si>
  <si>
    <t>Chinook High School</t>
  </si>
  <si>
    <t>2144</t>
  </si>
  <si>
    <t>Coalbanks Elementary School</t>
  </si>
  <si>
    <t>6451</t>
  </si>
  <si>
    <t>Dr. Gerald B. Probe Elementary School</t>
  </si>
  <si>
    <t>2334</t>
  </si>
  <si>
    <t>Dr. Robert Plaxton Elementary School</t>
  </si>
  <si>
    <t>6435</t>
  </si>
  <si>
    <t>Ecole Agnes Davidson School</t>
  </si>
  <si>
    <t>6438</t>
  </si>
  <si>
    <t>Fleetwood Bawden School</t>
  </si>
  <si>
    <t>1097</t>
  </si>
  <si>
    <t>G. S. Lakie Middle School</t>
  </si>
  <si>
    <t>6439</t>
  </si>
  <si>
    <t>Galbraith School</t>
  </si>
  <si>
    <t>6440</t>
  </si>
  <si>
    <t>General Stewart School</t>
  </si>
  <si>
    <t>6442</t>
  </si>
  <si>
    <t>Gilbert Paterson Middle School</t>
  </si>
  <si>
    <t>0305</t>
  </si>
  <si>
    <t>Immanuel Christian Elementary School</t>
  </si>
  <si>
    <t>6491</t>
  </si>
  <si>
    <t>Immanuel Christian Secondary School</t>
  </si>
  <si>
    <t>6444</t>
  </si>
  <si>
    <t>Lakeview Elementary School</t>
  </si>
  <si>
    <t>6497</t>
  </si>
  <si>
    <t>Lethbridge Christian School</t>
  </si>
  <si>
    <t>6446</t>
  </si>
  <si>
    <t>Lethbridge Collegiate Institute</t>
  </si>
  <si>
    <t>6453</t>
  </si>
  <si>
    <t>Lethbridge Regional Hospital School</t>
  </si>
  <si>
    <t>6457</t>
  </si>
  <si>
    <t>Mike Mountain Horse School</t>
  </si>
  <si>
    <t>6445</t>
  </si>
  <si>
    <t>Nicholas Sheran Elementary School</t>
  </si>
  <si>
    <t>6447</t>
  </si>
  <si>
    <t>Park Meadows School</t>
  </si>
  <si>
    <t>6456</t>
  </si>
  <si>
    <t>Pitawani School</t>
  </si>
  <si>
    <t>6450</t>
  </si>
  <si>
    <t>Senator Buchanan Elementary School</t>
  </si>
  <si>
    <t>2198</t>
  </si>
  <si>
    <t>Senator Joyce Fairbairn Middle School</t>
  </si>
  <si>
    <t>1380</t>
  </si>
  <si>
    <t>Stafford Ridge School</t>
  </si>
  <si>
    <t>6449</t>
  </si>
  <si>
    <t>Victoria Park High School</t>
  </si>
  <si>
    <t>6452</t>
  </si>
  <si>
    <t>6455</t>
  </si>
  <si>
    <t>Wilson Middle School</t>
  </si>
  <si>
    <t>6466</t>
  </si>
  <si>
    <t>Winston Churchill High School</t>
  </si>
  <si>
    <t>0047</t>
  </si>
  <si>
    <t>The Living Waters Catholic Separate School Division</t>
  </si>
  <si>
    <t>2237</t>
  </si>
  <si>
    <t>Across the Waters Outreach</t>
  </si>
  <si>
    <t>2170</t>
  </si>
  <si>
    <t>École St. Joseph School</t>
  </si>
  <si>
    <t>2171</t>
  </si>
  <si>
    <t>École St. Mary School</t>
  </si>
  <si>
    <t>1132</t>
  </si>
  <si>
    <t>Holy Redeemer Catholic Junior/Senior High School</t>
  </si>
  <si>
    <t>1585</t>
  </si>
  <si>
    <t>St. Francis of Assisi Catholic Academy</t>
  </si>
  <si>
    <t>1675</t>
  </si>
  <si>
    <t>St. Mary of the Lake</t>
  </si>
  <si>
    <t>2024</t>
  </si>
  <si>
    <t>Vanier Community Catholic School</t>
  </si>
  <si>
    <t>1135</t>
  </si>
  <si>
    <t>The Livingstone Range School Division</t>
  </si>
  <si>
    <t>6317</t>
  </si>
  <si>
    <t>A B Daley Community School</t>
  </si>
  <si>
    <t>6123</t>
  </si>
  <si>
    <t>Canyon Elementary School</t>
  </si>
  <si>
    <t>6320</t>
  </si>
  <si>
    <t>Clear Lake Colony School</t>
  </si>
  <si>
    <t>6106</t>
  </si>
  <si>
    <t>Crowsnest Consolidated High School</t>
  </si>
  <si>
    <t>6314</t>
  </si>
  <si>
    <t>Daly Creek Colony School</t>
  </si>
  <si>
    <t>6313</t>
  </si>
  <si>
    <t>Ewelme Colony School</t>
  </si>
  <si>
    <t>6306</t>
  </si>
  <si>
    <t>F. P. Walshe School</t>
  </si>
  <si>
    <t>6305</t>
  </si>
  <si>
    <t>Granum Schools</t>
  </si>
  <si>
    <t>0430</t>
  </si>
  <si>
    <t>Greenwood Colony School</t>
  </si>
  <si>
    <t>6105</t>
  </si>
  <si>
    <t>Horace Allen School</t>
  </si>
  <si>
    <t>6102</t>
  </si>
  <si>
    <t>Isabelle Sellon School</t>
  </si>
  <si>
    <t>6310</t>
  </si>
  <si>
    <t>J. T. Foster School</t>
  </si>
  <si>
    <t>2137</t>
  </si>
  <si>
    <t>Jumbo Valley Hutterite Colony School</t>
  </si>
  <si>
    <t>6319</t>
  </si>
  <si>
    <t>Little Bow Colony School</t>
  </si>
  <si>
    <t>0534</t>
  </si>
  <si>
    <t>Livingstone Colony School</t>
  </si>
  <si>
    <t>1258</t>
  </si>
  <si>
    <t>Livingstone Range Outreach - North</t>
  </si>
  <si>
    <t>1996</t>
  </si>
  <si>
    <t>Livingstone Range School Division Virtual School</t>
  </si>
  <si>
    <t>1067</t>
  </si>
  <si>
    <t>Livingstone Range Summer School</t>
  </si>
  <si>
    <t>6121</t>
  </si>
  <si>
    <t>Livingstone School</t>
  </si>
  <si>
    <t>6122</t>
  </si>
  <si>
    <t>Matthew Halton High School</t>
  </si>
  <si>
    <t>1076</t>
  </si>
  <si>
    <t>MHHS Gateway School</t>
  </si>
  <si>
    <t>1730</t>
  </si>
  <si>
    <t>Outreach West</t>
  </si>
  <si>
    <t>6316</t>
  </si>
  <si>
    <t>Parkland Colony School</t>
  </si>
  <si>
    <t>6125</t>
  </si>
  <si>
    <t>Pincher Creek Sunset Colony</t>
  </si>
  <si>
    <t>6126</t>
  </si>
  <si>
    <t>Spring Point Colony School</t>
  </si>
  <si>
    <t>6311</t>
  </si>
  <si>
    <t>Stavely Elementary School</t>
  </si>
  <si>
    <t>6315</t>
  </si>
  <si>
    <t>Thompson Colony School</t>
  </si>
  <si>
    <t>6308</t>
  </si>
  <si>
    <t>W. A. Day Elementary School</t>
  </si>
  <si>
    <t>1445</t>
  </si>
  <si>
    <t>Walshe Crossroads Campus</t>
  </si>
  <si>
    <t>6124</t>
  </si>
  <si>
    <t>Waterton New Yarrow Colony School</t>
  </si>
  <si>
    <t>6321</t>
  </si>
  <si>
    <t>West Meadow Elementary School</t>
  </si>
  <si>
    <t>6322</t>
  </si>
  <si>
    <t>Willow Creek Colony School</t>
  </si>
  <si>
    <t>6302</t>
  </si>
  <si>
    <t>Willow Creek Composite High School</t>
  </si>
  <si>
    <t>4501</t>
  </si>
  <si>
    <t>The Medicine Hat Roman Catholic Separate School Division</t>
  </si>
  <si>
    <t>2197</t>
  </si>
  <si>
    <t>École St. John Paul II School</t>
  </si>
  <si>
    <t>6870</t>
  </si>
  <si>
    <t>Monsignor McCoy High School</t>
  </si>
  <si>
    <t>6877</t>
  </si>
  <si>
    <t>1229</t>
  </si>
  <si>
    <t>Notre Dame Academy</t>
  </si>
  <si>
    <t>6871</t>
  </si>
  <si>
    <t>St. Francis Xavier School</t>
  </si>
  <si>
    <t>2391</t>
  </si>
  <si>
    <t>St. Joseph’s Education Centre</t>
  </si>
  <si>
    <t>6872</t>
  </si>
  <si>
    <t>St. Louis School</t>
  </si>
  <si>
    <t>6873</t>
  </si>
  <si>
    <t>6874</t>
  </si>
  <si>
    <t>6875</t>
  </si>
  <si>
    <t>St. Patrick's School</t>
  </si>
  <si>
    <t>3050</t>
  </si>
  <si>
    <t>The Medicine Hat School Division</t>
  </si>
  <si>
    <t>6841</t>
  </si>
  <si>
    <t>Alexandra Middle School</t>
  </si>
  <si>
    <t>1732</t>
  </si>
  <si>
    <t>Central High School</t>
  </si>
  <si>
    <t>2242</t>
  </si>
  <si>
    <t>Community Early Learning Program</t>
  </si>
  <si>
    <t>6843</t>
  </si>
  <si>
    <t>6844</t>
  </si>
  <si>
    <t>6845</t>
  </si>
  <si>
    <t>2142</t>
  </si>
  <si>
    <t>Dr. Ken Sauer School</t>
  </si>
  <si>
    <t>1728</t>
  </si>
  <si>
    <t>Dr. Roy Wilson Learning Centre</t>
  </si>
  <si>
    <t>6848</t>
  </si>
  <si>
    <t>Elm Street School</t>
  </si>
  <si>
    <t>6854</t>
  </si>
  <si>
    <t>George Davison Elementary School</t>
  </si>
  <si>
    <t>6849</t>
  </si>
  <si>
    <t>Herald School</t>
  </si>
  <si>
    <t>6896</t>
  </si>
  <si>
    <t>Medicine Hat Christian School</t>
  </si>
  <si>
    <t>6850</t>
  </si>
  <si>
    <t>Medicine Hat High School</t>
  </si>
  <si>
    <t>1648</t>
  </si>
  <si>
    <t>Medicine Hat School District No.76 Summer School</t>
  </si>
  <si>
    <t>6864</t>
  </si>
  <si>
    <t>PAS</t>
  </si>
  <si>
    <t>1239</t>
  </si>
  <si>
    <t>6852</t>
  </si>
  <si>
    <t>River Heights Elementary</t>
  </si>
  <si>
    <t>6847</t>
  </si>
  <si>
    <t>Ross Glen School</t>
  </si>
  <si>
    <t>6858</t>
  </si>
  <si>
    <t>Southview Community School</t>
  </si>
  <si>
    <t>2389</t>
  </si>
  <si>
    <t>The Hub: Online Community School</t>
  </si>
  <si>
    <t>6856</t>
  </si>
  <si>
    <t>6857</t>
  </si>
  <si>
    <t>Webster Niblock School</t>
  </si>
  <si>
    <t>1237</t>
  </si>
  <si>
    <t>Young Moms' School</t>
  </si>
  <si>
    <t>The Northern Gateway School Division</t>
  </si>
  <si>
    <t>2103</t>
  </si>
  <si>
    <t>Darwell School</t>
  </si>
  <si>
    <t>2113</t>
  </si>
  <si>
    <t>Elmer Elson Elementary School</t>
  </si>
  <si>
    <t>1202</t>
  </si>
  <si>
    <t>Fox Creek School</t>
  </si>
  <si>
    <t>1389</t>
  </si>
  <si>
    <t>Gateway Academy Fox Creek</t>
  </si>
  <si>
    <t>1551</t>
  </si>
  <si>
    <t>Gateway Academy Onoway</t>
  </si>
  <si>
    <t>1157</t>
  </si>
  <si>
    <t>Gateway Academy Valleyview</t>
  </si>
  <si>
    <t>1552</t>
  </si>
  <si>
    <t>Gateway Academy Whitecourt</t>
  </si>
  <si>
    <t>2114</t>
  </si>
  <si>
    <t>Grasmere School</t>
  </si>
  <si>
    <t>1207</t>
  </si>
  <si>
    <t>Harry Gray Elementary School</t>
  </si>
  <si>
    <t>1206</t>
  </si>
  <si>
    <t>Hillside Junior Senior High School</t>
  </si>
  <si>
    <t>2108</t>
  </si>
  <si>
    <t>Hilltop High School</t>
  </si>
  <si>
    <t>1960</t>
  </si>
  <si>
    <t>Homeland Colony School</t>
  </si>
  <si>
    <t>2104</t>
  </si>
  <si>
    <t>Mayerthorpe Junior Senior High School</t>
  </si>
  <si>
    <t>2110</t>
  </si>
  <si>
    <t>Onoway Elementary School</t>
  </si>
  <si>
    <t>2105</t>
  </si>
  <si>
    <t>Onoway Junior Senior High School</t>
  </si>
  <si>
    <t>1208</t>
  </si>
  <si>
    <t>Oscar Adolphson Primary School</t>
  </si>
  <si>
    <t>2112</t>
  </si>
  <si>
    <t>Pat Hardy Primary School</t>
  </si>
  <si>
    <t>2115</t>
  </si>
  <si>
    <t>Percy Baxter Middle School</t>
  </si>
  <si>
    <t>2106</t>
  </si>
  <si>
    <t>Rich Valley School</t>
  </si>
  <si>
    <t>2135</t>
  </si>
  <si>
    <t>Rochfort Bridge Colony School</t>
  </si>
  <si>
    <t>2107</t>
  </si>
  <si>
    <t>Sangudo Community School</t>
  </si>
  <si>
    <t>1211</t>
  </si>
  <si>
    <t>Twilight Colony School</t>
  </si>
  <si>
    <t>1210</t>
  </si>
  <si>
    <t>Valleyview Ranches Colony School</t>
  </si>
  <si>
    <t>2109</t>
  </si>
  <si>
    <t>Whitecourt Central Elementary School</t>
  </si>
  <si>
    <t>1245</t>
  </si>
  <si>
    <t>The Northern Lights School Division</t>
  </si>
  <si>
    <t>2901</t>
  </si>
  <si>
    <t>Ardmore School</t>
  </si>
  <si>
    <t>1545</t>
  </si>
  <si>
    <t>Art Smith Aviation Academy</t>
  </si>
  <si>
    <t>1800</t>
  </si>
  <si>
    <t>Aurora Middle School</t>
  </si>
  <si>
    <t>2950</t>
  </si>
  <si>
    <t>Bonnyville Centralized High School</t>
  </si>
  <si>
    <t>2720</t>
  </si>
  <si>
    <t>Bonnyville Outreach</t>
  </si>
  <si>
    <t>2701</t>
  </si>
  <si>
    <t>Caslan School</t>
  </si>
  <si>
    <t>2902</t>
  </si>
  <si>
    <t>Cold Lake Elementary School</t>
  </si>
  <si>
    <t>2906</t>
  </si>
  <si>
    <t>Cold Lake High School</t>
  </si>
  <si>
    <t>2909</t>
  </si>
  <si>
    <t>Cold Lake Junior High School</t>
  </si>
  <si>
    <t>2726</t>
  </si>
  <si>
    <t>Cold Lake Outreach</t>
  </si>
  <si>
    <t>1242</t>
  </si>
  <si>
    <t>Crossroads Outreach School</t>
  </si>
  <si>
    <t>2903</t>
  </si>
  <si>
    <t>Duclos School</t>
  </si>
  <si>
    <t>2706</t>
  </si>
  <si>
    <t>Ecole Plamondon School</t>
  </si>
  <si>
    <t>1568</t>
  </si>
  <si>
    <t>Fishing Lake Outreach Program</t>
  </si>
  <si>
    <t>2905</t>
  </si>
  <si>
    <t>Glendon School</t>
  </si>
  <si>
    <t>2911</t>
  </si>
  <si>
    <t>H E Bourgoin Middle School</t>
  </si>
  <si>
    <t>2908</t>
  </si>
  <si>
    <t>Iron River School</t>
  </si>
  <si>
    <t>2702</t>
  </si>
  <si>
    <t>J A Williams High School</t>
  </si>
  <si>
    <t>1443</t>
  </si>
  <si>
    <t>Journeys Learning Academy</t>
  </si>
  <si>
    <t>2717</t>
  </si>
  <si>
    <t>Kikino Elementary School</t>
  </si>
  <si>
    <t>2719</t>
  </si>
  <si>
    <t>Lac La Biche Outreach</t>
  </si>
  <si>
    <t>2386</t>
  </si>
  <si>
    <t>Learning Together Anywhere School</t>
  </si>
  <si>
    <t>2912</t>
  </si>
  <si>
    <t>Nelson Heights Middle School</t>
  </si>
  <si>
    <t>2907</t>
  </si>
  <si>
    <t>North Star Elementary School</t>
  </si>
  <si>
    <t>1738</t>
  </si>
  <si>
    <t>Pine Meadow Hutterite School</t>
  </si>
  <si>
    <t>2704</t>
  </si>
  <si>
    <t>Vera M. Welsh Elementary School</t>
  </si>
  <si>
    <t>2708</t>
  </si>
  <si>
    <t>Wandering River School</t>
  </si>
  <si>
    <t>2716</t>
  </si>
  <si>
    <t>1280</t>
  </si>
  <si>
    <t>The Northland School Division</t>
  </si>
  <si>
    <t>1801</t>
  </si>
  <si>
    <t>Anzac School</t>
  </si>
  <si>
    <t>1544</t>
  </si>
  <si>
    <t>Bill Woodward School</t>
  </si>
  <si>
    <t>1833</t>
  </si>
  <si>
    <t>Bishop Routhier School</t>
  </si>
  <si>
    <t>1804</t>
  </si>
  <si>
    <t>Calling Lake School</t>
  </si>
  <si>
    <t>1805</t>
  </si>
  <si>
    <t>Chipewyan Lake School</t>
  </si>
  <si>
    <t>1806</t>
  </si>
  <si>
    <t>Conklin Community School</t>
  </si>
  <si>
    <t>1822</t>
  </si>
  <si>
    <t>Dr Mary Jackson School</t>
  </si>
  <si>
    <t>1808</t>
  </si>
  <si>
    <t>Elizabeth Community School</t>
  </si>
  <si>
    <t>1820</t>
  </si>
  <si>
    <t>Father R Perin School</t>
  </si>
  <si>
    <t>1812</t>
  </si>
  <si>
    <t>Fort McKay School</t>
  </si>
  <si>
    <t>1817</t>
  </si>
  <si>
    <t>Gift Lake School</t>
  </si>
  <si>
    <t>1818</t>
  </si>
  <si>
    <t>Grouard Northland School</t>
  </si>
  <si>
    <t>1379</t>
  </si>
  <si>
    <t>1809</t>
  </si>
  <si>
    <t>J F Dion School</t>
  </si>
  <si>
    <t>1543</t>
  </si>
  <si>
    <t>Mistassiniy Outreach Program</t>
  </si>
  <si>
    <t>1807</t>
  </si>
  <si>
    <t>Mistassiniy School</t>
  </si>
  <si>
    <t>2381</t>
  </si>
  <si>
    <t>Northland Online School</t>
  </si>
  <si>
    <t>1827</t>
  </si>
  <si>
    <t>Paddle Prairie School</t>
  </si>
  <si>
    <t>1834</t>
  </si>
  <si>
    <t>St. Theresa School</t>
  </si>
  <si>
    <t>1830</t>
  </si>
  <si>
    <t>Susa Creek School</t>
  </si>
  <si>
    <t>The Northwest Francophone Education Region</t>
  </si>
  <si>
    <t>0434</t>
  </si>
  <si>
    <t>1550</t>
  </si>
  <si>
    <t>École Héritage</t>
  </si>
  <si>
    <t>0367</t>
  </si>
  <si>
    <t>2255</t>
  </si>
  <si>
    <t>The Palliser School Division</t>
  </si>
  <si>
    <t>1472</t>
  </si>
  <si>
    <t>Albion Ridge Colony School</t>
  </si>
  <si>
    <t>6420</t>
  </si>
  <si>
    <t>Allenby Colony</t>
  </si>
  <si>
    <t>1419</t>
  </si>
  <si>
    <t>Arrowwood Colony School</t>
  </si>
  <si>
    <t>5401</t>
  </si>
  <si>
    <t>Arrowwood Community School</t>
  </si>
  <si>
    <t>1423</t>
  </si>
  <si>
    <t>Barons School</t>
  </si>
  <si>
    <t>5492</t>
  </si>
  <si>
    <t>Brant Christian School</t>
  </si>
  <si>
    <t>6390</t>
  </si>
  <si>
    <t>Brant Colony School</t>
  </si>
  <si>
    <t>9978</t>
  </si>
  <si>
    <t>Calgary Christian High School</t>
  </si>
  <si>
    <t>9903</t>
  </si>
  <si>
    <t>Calgary Christian School</t>
  </si>
  <si>
    <t>Calgary Islamic School, Omar Bin Al-Khattab Campus</t>
  </si>
  <si>
    <t>1538</t>
  </si>
  <si>
    <t xml:space="preserve">Carmangay School </t>
  </si>
  <si>
    <t>5404</t>
  </si>
  <si>
    <t>Champion School</t>
  </si>
  <si>
    <t>6417</t>
  </si>
  <si>
    <t>Chin Lakes Colony School</t>
  </si>
  <si>
    <t>6406</t>
  </si>
  <si>
    <t>Coalhurst Elementary School</t>
  </si>
  <si>
    <t>6405</t>
  </si>
  <si>
    <t>Coalhurst High School</t>
  </si>
  <si>
    <t>5410</t>
  </si>
  <si>
    <t>County Central High School</t>
  </si>
  <si>
    <t>6412</t>
  </si>
  <si>
    <t>Dorothy Dalgliesh School</t>
  </si>
  <si>
    <t>6421</t>
  </si>
  <si>
    <t>Gold Ridge Colony School</t>
  </si>
  <si>
    <t>9906</t>
  </si>
  <si>
    <t>Heritage Christian Academy</t>
  </si>
  <si>
    <t>6418</t>
  </si>
  <si>
    <t>Hofmann Colony School</t>
  </si>
  <si>
    <t>2164</t>
  </si>
  <si>
    <t>Horizon Leadership Academy</t>
  </si>
  <si>
    <t>6409</t>
  </si>
  <si>
    <t>Huntsville School</t>
  </si>
  <si>
    <t>6404</t>
  </si>
  <si>
    <t>Jennie Emery Elementary School</t>
  </si>
  <si>
    <t>6403</t>
  </si>
  <si>
    <t>John Davidson School Program</t>
  </si>
  <si>
    <t>5436</t>
  </si>
  <si>
    <t>Keho Lake Colony School</t>
  </si>
  <si>
    <t>0030</t>
  </si>
  <si>
    <t>Master's Academy</t>
  </si>
  <si>
    <t>1562</t>
  </si>
  <si>
    <t>Master's College</t>
  </si>
  <si>
    <t>9936</t>
  </si>
  <si>
    <t>Menno Simons Christian School</t>
  </si>
  <si>
    <t>5416</t>
  </si>
  <si>
    <t>Mialta Colony School</t>
  </si>
  <si>
    <t>5406</t>
  </si>
  <si>
    <t>Milo Community School</t>
  </si>
  <si>
    <t>2410</t>
  </si>
  <si>
    <t>National Sport School</t>
  </si>
  <si>
    <t>5412</t>
  </si>
  <si>
    <t>New Dale Colony School</t>
  </si>
  <si>
    <t>6410</t>
  </si>
  <si>
    <t>Noble Central School</t>
  </si>
  <si>
    <t>1772</t>
  </si>
  <si>
    <t>Palliser Beyond Borders</t>
  </si>
  <si>
    <t>2000</t>
  </si>
  <si>
    <t>Palliser Beyond Borders at Calgary</t>
  </si>
  <si>
    <t>0340</t>
  </si>
  <si>
    <t>Palliser Beyond Borders at Coaldale</t>
  </si>
  <si>
    <t>1448</t>
  </si>
  <si>
    <t>Palliser Beyond Borders at Picture Butte</t>
  </si>
  <si>
    <t>0585</t>
  </si>
  <si>
    <t>Palliser Beyond Borders at Vulcan</t>
  </si>
  <si>
    <t>6427</t>
  </si>
  <si>
    <t>Palliser Home Education School</t>
  </si>
  <si>
    <t>6411</t>
  </si>
  <si>
    <t>Picture Butte High School</t>
  </si>
  <si>
    <t>6402</t>
  </si>
  <si>
    <t>R. I. Baker Middle School</t>
  </si>
  <si>
    <t>5413</t>
  </si>
  <si>
    <t>Riverbend Colony School</t>
  </si>
  <si>
    <t>6419</t>
  </si>
  <si>
    <t>Rock Lake Colony School</t>
  </si>
  <si>
    <t>1541</t>
  </si>
  <si>
    <t>Shadow Ranch Colony School</t>
  </si>
  <si>
    <t>1720</t>
  </si>
  <si>
    <t>Skylight Colony School</t>
  </si>
  <si>
    <t>5490</t>
  </si>
  <si>
    <t>Springridge Colony School</t>
  </si>
  <si>
    <t>6407</t>
  </si>
  <si>
    <t>9973</t>
  </si>
  <si>
    <t>Trinity Christian School</t>
  </si>
  <si>
    <t>5411</t>
  </si>
  <si>
    <t>Vulcan Prairieview Elementary School</t>
  </si>
  <si>
    <t>6423</t>
  </si>
  <si>
    <t>White Lake Colony School</t>
  </si>
  <si>
    <t>5417</t>
  </si>
  <si>
    <t>Wild Rose Colony School</t>
  </si>
  <si>
    <t>2305</t>
  </si>
  <si>
    <t>The Parkland School Division</t>
  </si>
  <si>
    <t>1810</t>
  </si>
  <si>
    <t>Athabasca Delta Community School</t>
  </si>
  <si>
    <t>2227</t>
  </si>
  <si>
    <t>Blueberry School</t>
  </si>
  <si>
    <t>2219</t>
  </si>
  <si>
    <t>Brookwood School</t>
  </si>
  <si>
    <t>2235</t>
  </si>
  <si>
    <t>Connections for Learning</t>
  </si>
  <si>
    <t>2181</t>
  </si>
  <si>
    <t>Copperhaven School</t>
  </si>
  <si>
    <t>2204</t>
  </si>
  <si>
    <t>Duffield School</t>
  </si>
  <si>
    <t>2228</t>
  </si>
  <si>
    <t>Ecole Broxton Park School</t>
  </si>
  <si>
    <t>2220</t>
  </si>
  <si>
    <t>Ecole Meridian Heights School</t>
  </si>
  <si>
    <t>2205</t>
  </si>
  <si>
    <t>Entwistle School</t>
  </si>
  <si>
    <t>2225</t>
  </si>
  <si>
    <t>Forest Green School</t>
  </si>
  <si>
    <t>2229</t>
  </si>
  <si>
    <t>Graminia School</t>
  </si>
  <si>
    <t>1267</t>
  </si>
  <si>
    <t>Greystone Centennial Middle School</t>
  </si>
  <si>
    <t>2211</t>
  </si>
  <si>
    <t>High Park School</t>
  </si>
  <si>
    <t>2209</t>
  </si>
  <si>
    <t>Memorial Composite High School</t>
  </si>
  <si>
    <t>2234</t>
  </si>
  <si>
    <t>Memorial Composite High School Outreach</t>
  </si>
  <si>
    <t>2224</t>
  </si>
  <si>
    <t>Millgrove School</t>
  </si>
  <si>
    <t>2226</t>
  </si>
  <si>
    <t>Muir Lake School</t>
  </si>
  <si>
    <t>2217</t>
  </si>
  <si>
    <t>Parkland Village School</t>
  </si>
  <si>
    <t>1957</t>
  </si>
  <si>
    <t>Prescott Learning Centre</t>
  </si>
  <si>
    <t>2208</t>
  </si>
  <si>
    <t>Spruce Grove Composite High School</t>
  </si>
  <si>
    <t>2233</t>
  </si>
  <si>
    <t>Spruce Grove Composite High School Outreach</t>
  </si>
  <si>
    <t>2210</t>
  </si>
  <si>
    <t>2214</t>
  </si>
  <si>
    <t>Tomahawk School</t>
  </si>
  <si>
    <t>2212</t>
  </si>
  <si>
    <t>Wabamun School</t>
  </si>
  <si>
    <t>2221</t>
  </si>
  <si>
    <t>Woodhaven Middle School</t>
  </si>
  <si>
    <t>1070</t>
  </si>
  <si>
    <t>The Peace River School Division</t>
  </si>
  <si>
    <t>1985</t>
  </si>
  <si>
    <t>Bear Canyon Hutterite Colony</t>
  </si>
  <si>
    <t>1051</t>
  </si>
  <si>
    <t>Breaking Point Colony School</t>
  </si>
  <si>
    <t>Cleardale Colony School</t>
  </si>
  <si>
    <t>1404</t>
  </si>
  <si>
    <t>E E Oliver Elementary School</t>
  </si>
  <si>
    <t>1542</t>
  </si>
  <si>
    <t>Fairview and Area Learning Store</t>
  </si>
  <si>
    <t>1402</t>
  </si>
  <si>
    <t>Fairview High School</t>
  </si>
  <si>
    <t>1505</t>
  </si>
  <si>
    <t>Grimshaw Public School</t>
  </si>
  <si>
    <t>1405</t>
  </si>
  <si>
    <t>Hines Creek Composite School</t>
  </si>
  <si>
    <t>1501</t>
  </si>
  <si>
    <t>Lloyd Garrison School</t>
  </si>
  <si>
    <t>1825</t>
  </si>
  <si>
    <t>Menno-Simons Community School</t>
  </si>
  <si>
    <t>1510</t>
  </si>
  <si>
    <t>Nampa Public School</t>
  </si>
  <si>
    <t>1507</t>
  </si>
  <si>
    <t>2337</t>
  </si>
  <si>
    <t>1376</t>
  </si>
  <si>
    <t>Peace Regional Outreach Campus</t>
  </si>
  <si>
    <t>1511</t>
  </si>
  <si>
    <t>Peace River High School</t>
  </si>
  <si>
    <t>0339</t>
  </si>
  <si>
    <t>Red Earth Creek School</t>
  </si>
  <si>
    <t>1514</t>
  </si>
  <si>
    <t>Springfield Elementary School</t>
  </si>
  <si>
    <t>1512</t>
  </si>
  <si>
    <t>T A Norris Middle School</t>
  </si>
  <si>
    <t>1407</t>
  </si>
  <si>
    <t>Worsley Central School</t>
  </si>
  <si>
    <t>0177</t>
  </si>
  <si>
    <t>The Peace Wapiti School Division</t>
  </si>
  <si>
    <t>2256</t>
  </si>
  <si>
    <t>Bay Tree Colony School</t>
  </si>
  <si>
    <t>1102</t>
  </si>
  <si>
    <t>Beaverlodge Elementary School</t>
  </si>
  <si>
    <t>1101</t>
  </si>
  <si>
    <t>Beaverlodge Regional High School</t>
  </si>
  <si>
    <t>1103</t>
  </si>
  <si>
    <t>Bezanson School</t>
  </si>
  <si>
    <t>1311</t>
  </si>
  <si>
    <t>Birch Hills Hutterite School</t>
  </si>
  <si>
    <t>1468</t>
  </si>
  <si>
    <t>Birch Meadows Colony School</t>
  </si>
  <si>
    <t>1302</t>
  </si>
  <si>
    <t>Bonanza School</t>
  </si>
  <si>
    <t>1424</t>
  </si>
  <si>
    <t>Clairmont Community School</t>
  </si>
  <si>
    <t>0591</t>
  </si>
  <si>
    <t>Codesa Hutterite Colony School</t>
  </si>
  <si>
    <t>1209</t>
  </si>
  <si>
    <t>Crooked Creek Colony School</t>
  </si>
  <si>
    <t>1632</t>
  </si>
  <si>
    <t>Doe River Colony School</t>
  </si>
  <si>
    <t>1303</t>
  </si>
  <si>
    <t>Eaglesham School</t>
  </si>
  <si>
    <t>1104</t>
  </si>
  <si>
    <t>Elmworth School</t>
  </si>
  <si>
    <t>1116</t>
  </si>
  <si>
    <t>Grandview Colony School</t>
  </si>
  <si>
    <t>1105</t>
  </si>
  <si>
    <t>Harry Balfour School</t>
  </si>
  <si>
    <t>1111</t>
  </si>
  <si>
    <t>Helen E. Taylor School</t>
  </si>
  <si>
    <t>1055</t>
  </si>
  <si>
    <t>Horizon Group Care</t>
  </si>
  <si>
    <t>1115</t>
  </si>
  <si>
    <t>Hythe Regional School</t>
  </si>
  <si>
    <t>1107</t>
  </si>
  <si>
    <t>La Glace School</t>
  </si>
  <si>
    <t>0319</t>
  </si>
  <si>
    <t>Peace Academy of Virtual Education</t>
  </si>
  <si>
    <t>0590</t>
  </si>
  <si>
    <t>Peace Wapiti Academy</t>
  </si>
  <si>
    <t>2239</t>
  </si>
  <si>
    <t>Peace Wapiti Enterprise Centre</t>
  </si>
  <si>
    <t>1137</t>
  </si>
  <si>
    <t>Peace Wapiti Outreach Program</t>
  </si>
  <si>
    <t>Penson School</t>
  </si>
  <si>
    <t>1203</t>
  </si>
  <si>
    <t>Ridgevalley School</t>
  </si>
  <si>
    <t>1112</t>
  </si>
  <si>
    <t>Robert W. Zahara Public School</t>
  </si>
  <si>
    <t>1304</t>
  </si>
  <si>
    <t>Rycroft School</t>
  </si>
  <si>
    <t>1305</t>
  </si>
  <si>
    <t>Savanna School</t>
  </si>
  <si>
    <t>1108</t>
  </si>
  <si>
    <t>Sexsmith Secondary School</t>
  </si>
  <si>
    <t>Shady Lane Colony School</t>
  </si>
  <si>
    <t>2126</t>
  </si>
  <si>
    <t>Silver Valley Colony School</t>
  </si>
  <si>
    <t>1306</t>
  </si>
  <si>
    <t>Spirit River Regional Academy</t>
  </si>
  <si>
    <t>1109</t>
  </si>
  <si>
    <t>Teepee Creek School</t>
  </si>
  <si>
    <t>1113</t>
  </si>
  <si>
    <t>Wembley Elementary School</t>
  </si>
  <si>
    <t>2078</t>
  </si>
  <si>
    <t>Whispering Ridge Community School</t>
  </si>
  <si>
    <t>1175</t>
  </si>
  <si>
    <t>The Pembina Hills School Division</t>
  </si>
  <si>
    <t>0099</t>
  </si>
  <si>
    <t>Alberta Distance Learning Centre</t>
  </si>
  <si>
    <t>2301</t>
  </si>
  <si>
    <t>Barrhead Composite High School</t>
  </si>
  <si>
    <t>2303</t>
  </si>
  <si>
    <t>Barrhead Elementary School</t>
  </si>
  <si>
    <t>2316</t>
  </si>
  <si>
    <t>Barrhead Outreach</t>
  </si>
  <si>
    <t>2401</t>
  </si>
  <si>
    <t>Busby School</t>
  </si>
  <si>
    <t>Dunstable School</t>
  </si>
  <si>
    <t>2402</t>
  </si>
  <si>
    <t>Eleanor Hall School</t>
  </si>
  <si>
    <t>2306</t>
  </si>
  <si>
    <t>Fort Assiniboine School</t>
  </si>
  <si>
    <t>2311</t>
  </si>
  <si>
    <t>Neerlandia Public Christian School</t>
  </si>
  <si>
    <t>2403</t>
  </si>
  <si>
    <t>Pembina North Community School</t>
  </si>
  <si>
    <t>2415</t>
  </si>
  <si>
    <t>Pibroch Colony School</t>
  </si>
  <si>
    <t>2411</t>
  </si>
  <si>
    <t>Richard F Staples Secondary School</t>
  </si>
  <si>
    <t>2416</t>
  </si>
  <si>
    <t>Sunny Bend Colony School</t>
  </si>
  <si>
    <t>2335</t>
  </si>
  <si>
    <t>Swan Hills School</t>
  </si>
  <si>
    <t>2317</t>
  </si>
  <si>
    <t>Vista Virtual School</t>
  </si>
  <si>
    <t>1682</t>
  </si>
  <si>
    <t>Vista Virtual School North</t>
  </si>
  <si>
    <t>1558</t>
  </si>
  <si>
    <t>Vista Virtual School South</t>
  </si>
  <si>
    <t>2413</t>
  </si>
  <si>
    <t>Westlock Elementary School</t>
  </si>
  <si>
    <t>0019</t>
  </si>
  <si>
    <t>Westlock Outreach</t>
  </si>
  <si>
    <t>The Prairie Land School Division</t>
  </si>
  <si>
    <t>2374</t>
  </si>
  <si>
    <t>Al-Amal Academy</t>
  </si>
  <si>
    <t>4801</t>
  </si>
  <si>
    <t>Altario School</t>
  </si>
  <si>
    <t>5829</t>
  </si>
  <si>
    <t>Berry Creek Colony School</t>
  </si>
  <si>
    <t>5802</t>
  </si>
  <si>
    <t>Berry Creek Community School</t>
  </si>
  <si>
    <t>5712</t>
  </si>
  <si>
    <t>Blue Sky Colony School</t>
  </si>
  <si>
    <t>1421</t>
  </si>
  <si>
    <t>Cloverleaf Colony</t>
  </si>
  <si>
    <t>4802</t>
  </si>
  <si>
    <t>Consort School</t>
  </si>
  <si>
    <t>5711</t>
  </si>
  <si>
    <t>Craigmyle Colony School</t>
  </si>
  <si>
    <t>5702</t>
  </si>
  <si>
    <t>Delia School</t>
  </si>
  <si>
    <t>5828</t>
  </si>
  <si>
    <t>Handhills Colony School</t>
  </si>
  <si>
    <t>5491</t>
  </si>
  <si>
    <t>Hope Christian School</t>
  </si>
  <si>
    <t>5844</t>
  </si>
  <si>
    <t>J. C. Charyk Hanna School</t>
  </si>
  <si>
    <t>5705</t>
  </si>
  <si>
    <t>Morrin School</t>
  </si>
  <si>
    <t>0580</t>
  </si>
  <si>
    <t>Neu Muehl Colony School</t>
  </si>
  <si>
    <t>2373</t>
  </si>
  <si>
    <t>Prairie Land Online Academy</t>
  </si>
  <si>
    <t>0486</t>
  </si>
  <si>
    <t>Prairie Land Outreach School</t>
  </si>
  <si>
    <t>5709</t>
  </si>
  <si>
    <t>Starland Colony School</t>
  </si>
  <si>
    <t>5710</t>
  </si>
  <si>
    <t>Verdant Valley Colony</t>
  </si>
  <si>
    <t>4804</t>
  </si>
  <si>
    <t>Veteran Colony School</t>
  </si>
  <si>
    <t>4803</t>
  </si>
  <si>
    <t>Veteran School</t>
  </si>
  <si>
    <t>5827</t>
  </si>
  <si>
    <t>0195</t>
  </si>
  <si>
    <t>The Prairie Rose School Division</t>
  </si>
  <si>
    <t>5913</t>
  </si>
  <si>
    <t>Acadia Colony School</t>
  </si>
  <si>
    <t>2264</t>
  </si>
  <si>
    <t>Baker Colony School</t>
  </si>
  <si>
    <t>1021</t>
  </si>
  <si>
    <t>6903</t>
  </si>
  <si>
    <t>Bow Island Elementary School</t>
  </si>
  <si>
    <t>6904</t>
  </si>
  <si>
    <t>Burdett School</t>
  </si>
  <si>
    <t>5905</t>
  </si>
  <si>
    <t>Eagle Butte High School</t>
  </si>
  <si>
    <t>6907</t>
  </si>
  <si>
    <t>Foremost School</t>
  </si>
  <si>
    <t>6809</t>
  </si>
  <si>
    <t>Hutterian Brethren Church School of Elkwater</t>
  </si>
  <si>
    <t>2131</t>
  </si>
  <si>
    <t>Hutterian Brethren Church School of Murray Lake</t>
  </si>
  <si>
    <t>6803</t>
  </si>
  <si>
    <t>Irvine School</t>
  </si>
  <si>
    <t>6836</t>
  </si>
  <si>
    <t>Isabel F Cox School</t>
  </si>
  <si>
    <t>6810</t>
  </si>
  <si>
    <t>Jenner Colony School</t>
  </si>
  <si>
    <t>6804</t>
  </si>
  <si>
    <t>Jenner School</t>
  </si>
  <si>
    <t>6913</t>
  </si>
  <si>
    <t>Kingslake Colony School</t>
  </si>
  <si>
    <t>6837</t>
  </si>
  <si>
    <t>Margaret Wooding School</t>
  </si>
  <si>
    <t>6916</t>
  </si>
  <si>
    <t>Mayfield Hutterite Colony School</t>
  </si>
  <si>
    <t>2183</t>
  </si>
  <si>
    <t>Meridian Colony School</t>
  </si>
  <si>
    <t>5907</t>
  </si>
  <si>
    <t>New Brigden School</t>
  </si>
  <si>
    <t>5911</t>
  </si>
  <si>
    <t>Oyen Public School</t>
  </si>
  <si>
    <t>6835</t>
  </si>
  <si>
    <t>Parkside School</t>
  </si>
  <si>
    <t>6912</t>
  </si>
  <si>
    <t>Plainview Colony School</t>
  </si>
  <si>
    <t>6911</t>
  </si>
  <si>
    <t>Ponderosa Colony School</t>
  </si>
  <si>
    <t>2263</t>
  </si>
  <si>
    <t>Prairie Mennonite Alternative School</t>
  </si>
  <si>
    <t>6919</t>
  </si>
  <si>
    <t>Prairie Rose Regional Division Home Education</t>
  </si>
  <si>
    <t>5914</t>
  </si>
  <si>
    <t>Prairie View Colony School</t>
  </si>
  <si>
    <t>6891</t>
  </si>
  <si>
    <t>Ralston School</t>
  </si>
  <si>
    <t>1785</t>
  </si>
  <si>
    <t>Redcliff Mennonite Alternative Program</t>
  </si>
  <si>
    <t>6909</t>
  </si>
  <si>
    <t>Rosedale Colony School</t>
  </si>
  <si>
    <t>6812</t>
  </si>
  <si>
    <t>Roseglen Hutterian Church School</t>
  </si>
  <si>
    <t>2200</t>
  </si>
  <si>
    <t>6807</t>
  </si>
  <si>
    <t>Schuler School</t>
  </si>
  <si>
    <t>6902</t>
  </si>
  <si>
    <t>Senator Gershaw School</t>
  </si>
  <si>
    <t>6808</t>
  </si>
  <si>
    <t>Seven Persons School</t>
  </si>
  <si>
    <t>5902</t>
  </si>
  <si>
    <t>Shamrock Colony School</t>
  </si>
  <si>
    <t>0393</t>
  </si>
  <si>
    <t>Silver Sage Colony School</t>
  </si>
  <si>
    <t>5910</t>
  </si>
  <si>
    <t>South Central High School</t>
  </si>
  <si>
    <t>6918</t>
  </si>
  <si>
    <t>Starbrite Hutterite Colony School</t>
  </si>
  <si>
    <t>6915</t>
  </si>
  <si>
    <t>Sunrise Colony School</t>
  </si>
  <si>
    <t>5901</t>
  </si>
  <si>
    <t>Warren Peers School</t>
  </si>
  <si>
    <t>6910</t>
  </si>
  <si>
    <t>Winnifred Hutterite Colony</t>
  </si>
  <si>
    <t>The Red Deer Catholic Separate School Division</t>
  </si>
  <si>
    <t>4473</t>
  </si>
  <si>
    <t>Ecole Camille J Lerouge School</t>
  </si>
  <si>
    <t>4471</t>
  </si>
  <si>
    <t>Ecole Secondaire Notre Dame High School</t>
  </si>
  <si>
    <t>1782</t>
  </si>
  <si>
    <t>Ecole Secondaire Notre Dame Summer School</t>
  </si>
  <si>
    <t>1697</t>
  </si>
  <si>
    <t>Father Henri Voisin</t>
  </si>
  <si>
    <t>1497</t>
  </si>
  <si>
    <t>4472</t>
  </si>
  <si>
    <t>Maryview School</t>
  </si>
  <si>
    <t>0489</t>
  </si>
  <si>
    <t>Mother Teresa</t>
  </si>
  <si>
    <t>1369</t>
  </si>
  <si>
    <t>1781</t>
  </si>
  <si>
    <t>Red Deer Catholic Online Summer School</t>
  </si>
  <si>
    <t>1272</t>
  </si>
  <si>
    <t>St. Dominic High School</t>
  </si>
  <si>
    <t>4477</t>
  </si>
  <si>
    <t>St. Elizabeth Seton School</t>
  </si>
  <si>
    <t>1123</t>
  </si>
  <si>
    <t>2079</t>
  </si>
  <si>
    <t>St. Gregory The Great Catholic School</t>
  </si>
  <si>
    <t>1253</t>
  </si>
  <si>
    <t>St. John Paul II Catholic Outreach School</t>
  </si>
  <si>
    <t>1923</t>
  </si>
  <si>
    <t>St. Joseph High School</t>
  </si>
  <si>
    <t>2476</t>
  </si>
  <si>
    <t>St. Lorenzo Ruiz Middle School</t>
  </si>
  <si>
    <t>1124</t>
  </si>
  <si>
    <t>St. Marguerite Bourgeoys</t>
  </si>
  <si>
    <t>4475</t>
  </si>
  <si>
    <t>St. Martin De Porres School</t>
  </si>
  <si>
    <t>4170</t>
  </si>
  <si>
    <t>St. Matthews Catholic School</t>
  </si>
  <si>
    <t>4478</t>
  </si>
  <si>
    <t>St. Patricks Community School</t>
  </si>
  <si>
    <t>4480</t>
  </si>
  <si>
    <t>St. Teresa of Avila School</t>
  </si>
  <si>
    <t>4476</t>
  </si>
  <si>
    <t>3070</t>
  </si>
  <si>
    <t xml:space="preserve">The Red Deer School Division </t>
  </si>
  <si>
    <t>4436</t>
  </si>
  <si>
    <t>Annie L Gaetz School</t>
  </si>
  <si>
    <t>4447</t>
  </si>
  <si>
    <t>Aspen Heights Elementary School</t>
  </si>
  <si>
    <t>4464</t>
  </si>
  <si>
    <t>Aurora Treatment Centre</t>
  </si>
  <si>
    <t>4437</t>
  </si>
  <si>
    <t>Central Middle School</t>
  </si>
  <si>
    <t>2143</t>
  </si>
  <si>
    <t>Don Campbell Elementary School</t>
  </si>
  <si>
    <t>4439</t>
  </si>
  <si>
    <t>Eastview Middle School</t>
  </si>
  <si>
    <t>1783</t>
  </si>
  <si>
    <t>Ecole Barrie Wilson Elementary School</t>
  </si>
  <si>
    <t>1952</t>
  </si>
  <si>
    <t>Escuela Vista Grande</t>
  </si>
  <si>
    <t>4440</t>
  </si>
  <si>
    <t>4455</t>
  </si>
  <si>
    <t>G H Dawe Community School</t>
  </si>
  <si>
    <t>4491</t>
  </si>
  <si>
    <t>Gateway Christian School</t>
  </si>
  <si>
    <t>4442</t>
  </si>
  <si>
    <t>George Wilbert Smith School</t>
  </si>
  <si>
    <t>4463</t>
  </si>
  <si>
    <t>Glendale Sciences and Technology School</t>
  </si>
  <si>
    <t>4433</t>
  </si>
  <si>
    <t>Hunting Hills High School</t>
  </si>
  <si>
    <t>4443</t>
  </si>
  <si>
    <t>Joseph Welsh School</t>
  </si>
  <si>
    <t>4444</t>
  </si>
  <si>
    <t>Lindsay Thurber Comprehensive High School</t>
  </si>
  <si>
    <t>1063</t>
  </si>
  <si>
    <t>Mattie McCullough Elementary School</t>
  </si>
  <si>
    <t>4445</t>
  </si>
  <si>
    <t>Mountview School</t>
  </si>
  <si>
    <t>4458</t>
  </si>
  <si>
    <t>Normandeau School</t>
  </si>
  <si>
    <t>4465</t>
  </si>
  <si>
    <t>North Cottage High School</t>
  </si>
  <si>
    <t>4448</t>
  </si>
  <si>
    <t>Oriole Park School</t>
  </si>
  <si>
    <t>4469</t>
  </si>
  <si>
    <t>Oskayak Treatment Centre</t>
  </si>
  <si>
    <t>4435</t>
  </si>
  <si>
    <t>Outreach School Centre</t>
  </si>
  <si>
    <t>0024</t>
  </si>
  <si>
    <t>Quest High School</t>
  </si>
  <si>
    <t>4461</t>
  </si>
  <si>
    <t>Quest, Assessment</t>
  </si>
  <si>
    <t>4457</t>
  </si>
  <si>
    <t>Quest, Stabilization and Secure</t>
  </si>
  <si>
    <t>0574</t>
  </si>
  <si>
    <t>Red Deer Regional Hospital Education Program</t>
  </si>
  <si>
    <t>4432</t>
  </si>
  <si>
    <t>Red Deer School District Home Education</t>
  </si>
  <si>
    <t>1787</t>
  </si>
  <si>
    <t>School Within a College</t>
  </si>
  <si>
    <t>4452</t>
  </si>
  <si>
    <t>West Park Elementary School</t>
  </si>
  <si>
    <t>4454</t>
  </si>
  <si>
    <t>Westpark Middle School</t>
  </si>
  <si>
    <t>1190</t>
  </si>
  <si>
    <t>The Rocky View School Division</t>
  </si>
  <si>
    <t>5230</t>
  </si>
  <si>
    <t>A. E. Bowers Elementary School</t>
  </si>
  <si>
    <t>0404</t>
  </si>
  <si>
    <t>Airdrie Learning Connection</t>
  </si>
  <si>
    <t>5232</t>
  </si>
  <si>
    <t>Banded Peak School</t>
  </si>
  <si>
    <t>1030</t>
  </si>
  <si>
    <t>Bearspaw School</t>
  </si>
  <si>
    <t>5218</t>
  </si>
  <si>
    <t>Beiseker Colony School</t>
  </si>
  <si>
    <t>5205</t>
  </si>
  <si>
    <t>Beiseker Community School</t>
  </si>
  <si>
    <t>5228</t>
  </si>
  <si>
    <t>Bert Church High School</t>
  </si>
  <si>
    <t>0444</t>
  </si>
  <si>
    <t>Bow Valley High School</t>
  </si>
  <si>
    <t>1763</t>
  </si>
  <si>
    <t>C.W. Perry School</t>
  </si>
  <si>
    <t>5208</t>
  </si>
  <si>
    <t>Chestermere High School</t>
  </si>
  <si>
    <t>5204</t>
  </si>
  <si>
    <t>Chestermere Lake Middle School</t>
  </si>
  <si>
    <t>1284</t>
  </si>
  <si>
    <t>Chestermere Learning Connection</t>
  </si>
  <si>
    <t>1584</t>
  </si>
  <si>
    <t>Cochrane Christian Academy</t>
  </si>
  <si>
    <t>5209</t>
  </si>
  <si>
    <t>Cochrane High School</t>
  </si>
  <si>
    <t>5250</t>
  </si>
  <si>
    <t>Cochrane Learning Connection</t>
  </si>
  <si>
    <t>1977</t>
  </si>
  <si>
    <t>Coopers Crossing School</t>
  </si>
  <si>
    <t>5212</t>
  </si>
  <si>
    <t>Crossfield Elementary School</t>
  </si>
  <si>
    <t>2419</t>
  </si>
  <si>
    <t>Discovery Trails Online School</t>
  </si>
  <si>
    <t>1762</t>
  </si>
  <si>
    <t>East Lake School</t>
  </si>
  <si>
    <t>5202</t>
  </si>
  <si>
    <t>Ecole Airdrie Middle School</t>
  </si>
  <si>
    <t>5203</t>
  </si>
  <si>
    <t>Ecole Edwards Elementary School</t>
  </si>
  <si>
    <t>5216</t>
  </si>
  <si>
    <t>Elbow Valley Elementary School</t>
  </si>
  <si>
    <t>5224</t>
  </si>
  <si>
    <t>Elizabeth Barrett Elementary School</t>
  </si>
  <si>
    <t>5219</t>
  </si>
  <si>
    <t>Fairview Colony School</t>
  </si>
  <si>
    <t>2152</t>
  </si>
  <si>
    <t>Fireside School</t>
  </si>
  <si>
    <t>5201</t>
  </si>
  <si>
    <t>George McDougall High School</t>
  </si>
  <si>
    <t>5226</t>
  </si>
  <si>
    <t>Glenbow Elementary School</t>
  </si>
  <si>
    <t>1978</t>
  </si>
  <si>
    <t>H. Lorimer School</t>
  </si>
  <si>
    <t>1681</t>
  </si>
  <si>
    <t>Herons Crossing School</t>
  </si>
  <si>
    <t>5213</t>
  </si>
  <si>
    <t>Indus School</t>
  </si>
  <si>
    <t>5214</t>
  </si>
  <si>
    <t>Kathyrn School</t>
  </si>
  <si>
    <t>1117</t>
  </si>
  <si>
    <t>Langdon School</t>
  </si>
  <si>
    <t>5221</t>
  </si>
  <si>
    <t>Manachaban Middle School</t>
  </si>
  <si>
    <t>5229</t>
  </si>
  <si>
    <t>Meadowbrook School</t>
  </si>
  <si>
    <t>5231</t>
  </si>
  <si>
    <t>Mitford School</t>
  </si>
  <si>
    <t>5206</t>
  </si>
  <si>
    <t>Muriel Clayton Middle School</t>
  </si>
  <si>
    <t>2251</t>
  </si>
  <si>
    <t>Northcott Prairie School</t>
  </si>
  <si>
    <t>1342</t>
  </si>
  <si>
    <t>Nose Creek Elementary School</t>
  </si>
  <si>
    <t>1042</t>
  </si>
  <si>
    <t>Prairie Waters Elementary School</t>
  </si>
  <si>
    <t>5207</t>
  </si>
  <si>
    <t>R. J. Hawkey Elementary School</t>
  </si>
  <si>
    <t>1413</t>
  </si>
  <si>
    <t>Rainbow Creek Elementary School</t>
  </si>
  <si>
    <t>0336</t>
  </si>
  <si>
    <t>Ralph McCall School</t>
  </si>
  <si>
    <t>1998</t>
  </si>
  <si>
    <t>RancheView School</t>
  </si>
  <si>
    <t>1673</t>
  </si>
  <si>
    <t>Sarah Thompson School</t>
  </si>
  <si>
    <t>5223</t>
  </si>
  <si>
    <t>Springbank Community High School</t>
  </si>
  <si>
    <t>5215</t>
  </si>
  <si>
    <t>Springbank Middle School</t>
  </si>
  <si>
    <t>1735</t>
  </si>
  <si>
    <t>Summit Trails Online High School</t>
  </si>
  <si>
    <t>5220</t>
  </si>
  <si>
    <t>Tschetter Colony School</t>
  </si>
  <si>
    <t>5225</t>
  </si>
  <si>
    <t>W. G. Murdoch School</t>
  </si>
  <si>
    <t>1764</t>
  </si>
  <si>
    <t>W.H. Croxford High School</t>
  </si>
  <si>
    <t>5217</t>
  </si>
  <si>
    <t>2151</t>
  </si>
  <si>
    <t>Windsong Heights School</t>
  </si>
  <si>
    <t>0284</t>
  </si>
  <si>
    <t>The Southern Francophone Education Region</t>
  </si>
  <si>
    <t>1269</t>
  </si>
  <si>
    <t>1297</t>
  </si>
  <si>
    <t>9228</t>
  </si>
  <si>
    <t>1014</t>
  </si>
  <si>
    <t>2387</t>
  </si>
  <si>
    <t>École des Grands-Vents</t>
  </si>
  <si>
    <t>2149</t>
  </si>
  <si>
    <t>École du Nouveau-Monde</t>
  </si>
  <si>
    <t>1365</t>
  </si>
  <si>
    <t>École La Mosaïque</t>
  </si>
  <si>
    <t>2539</t>
  </si>
  <si>
    <t>1247</t>
  </si>
  <si>
    <t>0520</t>
  </si>
  <si>
    <t>1060</t>
  </si>
  <si>
    <t>1189</t>
  </si>
  <si>
    <t>1364</t>
  </si>
  <si>
    <t>1378</t>
  </si>
  <si>
    <t>8707</t>
  </si>
  <si>
    <t>7020</t>
  </si>
  <si>
    <t>The St. Albert School Division</t>
  </si>
  <si>
    <t>2556</t>
  </si>
  <si>
    <t>Bellerose Composite High School</t>
  </si>
  <si>
    <t>2560</t>
  </si>
  <si>
    <t>Bellerose Continuing Education</t>
  </si>
  <si>
    <t>2552</t>
  </si>
  <si>
    <t>Elmer S Gish School</t>
  </si>
  <si>
    <t>2543</t>
  </si>
  <si>
    <t>Hillgrove Campus</t>
  </si>
  <si>
    <t>2188</t>
  </si>
  <si>
    <t>Joseph M. Demko School</t>
  </si>
  <si>
    <t>2554</t>
  </si>
  <si>
    <t>Kinosayo Elementary School</t>
  </si>
  <si>
    <t>2540</t>
  </si>
  <si>
    <t>Leo Nickerson Elementary</t>
  </si>
  <si>
    <t>1966</t>
  </si>
  <si>
    <t>Lois E. Hole Elementary School</t>
  </si>
  <si>
    <t>2545</t>
  </si>
  <si>
    <t>Lorne Akins Junior High School</t>
  </si>
  <si>
    <t>2557</t>
  </si>
  <si>
    <t>Muriel Martin Elementary School</t>
  </si>
  <si>
    <t>2555</t>
  </si>
  <si>
    <t>Paul Kane Continuing Education</t>
  </si>
  <si>
    <t>2541</t>
  </si>
  <si>
    <t>Paul Kane High School</t>
  </si>
  <si>
    <t>2546</t>
  </si>
  <si>
    <t>Ronald Harvey Elementary</t>
  </si>
  <si>
    <t>2542</t>
  </si>
  <si>
    <t>Sir Alexander Mackenzie School</t>
  </si>
  <si>
    <t>2559</t>
  </si>
  <si>
    <t>St. Albert Public Home Education</t>
  </si>
  <si>
    <t>2558</t>
  </si>
  <si>
    <t>St. Albert Public Outreach</t>
  </si>
  <si>
    <t>1974</t>
  </si>
  <si>
    <t>St. Albert Public Schools Preschool</t>
  </si>
  <si>
    <t>2442</t>
  </si>
  <si>
    <t>St. Albert Public Schools’ Summer School</t>
  </si>
  <si>
    <t>2551</t>
  </si>
  <si>
    <t>Wild Rose Elementary School</t>
  </si>
  <si>
    <t>2550</t>
  </si>
  <si>
    <t>William D Cuts School</t>
  </si>
  <si>
    <t>The St. Paul School Division</t>
  </si>
  <si>
    <t>2800</t>
  </si>
  <si>
    <t>2872</t>
  </si>
  <si>
    <t>Ecole Elementaire St. Paul Elementary School</t>
  </si>
  <si>
    <t>2806</t>
  </si>
  <si>
    <t>Ecole Mallaig Community School</t>
  </si>
  <si>
    <t>2820</t>
  </si>
  <si>
    <t>Ecole Regionale St. Paul Regional High School</t>
  </si>
  <si>
    <t>2803</t>
  </si>
  <si>
    <t>Elk Point Elementary School</t>
  </si>
  <si>
    <t>1381</t>
  </si>
  <si>
    <t>Elk Point Outreach</t>
  </si>
  <si>
    <t>2802</t>
  </si>
  <si>
    <t>F.G. Miller Junior Senior High School</t>
  </si>
  <si>
    <t>2835</t>
  </si>
  <si>
    <t>Glen Avon Protestant School</t>
  </si>
  <si>
    <t>2809</t>
  </si>
  <si>
    <t>Hairy Hill Colony School</t>
  </si>
  <si>
    <t>2804</t>
  </si>
  <si>
    <t>Heinsburg Community School</t>
  </si>
  <si>
    <t>2238</t>
  </si>
  <si>
    <t>Myrnam Outreach Program</t>
  </si>
  <si>
    <t>3703</t>
  </si>
  <si>
    <t>New Myrnam School</t>
  </si>
  <si>
    <t>3711</t>
  </si>
  <si>
    <t>Plain Lake Colony School</t>
  </si>
  <si>
    <t>2871</t>
  </si>
  <si>
    <t>Racette Junior High School</t>
  </si>
  <si>
    <t>2808</t>
  </si>
  <si>
    <t>St. Paul Alternate Education Centre</t>
  </si>
  <si>
    <t>2393</t>
  </si>
  <si>
    <t>Stony Creek Hutterite Colony School</t>
  </si>
  <si>
    <t>0532</t>
  </si>
  <si>
    <t>Two Hills Mennonite School</t>
  </si>
  <si>
    <t>3707</t>
  </si>
  <si>
    <t>Two Hills School</t>
  </si>
  <si>
    <t xml:space="preserve">The St. Thomas Aquinas Roman Catholic Separate School Division </t>
  </si>
  <si>
    <t>1496</t>
  </si>
  <si>
    <t>Academie Saint-Andre Academy</t>
  </si>
  <si>
    <t>3272</t>
  </si>
  <si>
    <t>Christ the King School</t>
  </si>
  <si>
    <t>2060</t>
  </si>
  <si>
    <t>École Mother d'Youville School</t>
  </si>
  <si>
    <t>3270</t>
  </si>
  <si>
    <t>École Notre Dame School</t>
  </si>
  <si>
    <t>1312</t>
  </si>
  <si>
    <t>Father Lacombe Catholic School</t>
  </si>
  <si>
    <t>2059</t>
  </si>
  <si>
    <t>Father Leduc Catholic School</t>
  </si>
  <si>
    <t>1328</t>
  </si>
  <si>
    <t>3170</t>
  </si>
  <si>
    <t>Sacred Heart School</t>
  </si>
  <si>
    <t>2270</t>
  </si>
  <si>
    <t>St. Anthony School</t>
  </si>
  <si>
    <t>4270</t>
  </si>
  <si>
    <t>St. Augustine School</t>
  </si>
  <si>
    <t>3271</t>
  </si>
  <si>
    <t>1075</t>
  </si>
  <si>
    <t>STAR Catholic Outreach School</t>
  </si>
  <si>
    <t>1110</t>
  </si>
  <si>
    <t>2501</t>
  </si>
  <si>
    <t>Bon Accord Community School</t>
  </si>
  <si>
    <t>2502</t>
  </si>
  <si>
    <t>Camilla School</t>
  </si>
  <si>
    <t>2248</t>
  </si>
  <si>
    <t>Four Winds Public School</t>
  </si>
  <si>
    <t>2504</t>
  </si>
  <si>
    <t>Gibbons School</t>
  </si>
  <si>
    <t>3392</t>
  </si>
  <si>
    <t>Guthrie School</t>
  </si>
  <si>
    <t>2512</t>
  </si>
  <si>
    <t>Landing Trail School</t>
  </si>
  <si>
    <t>2451</t>
  </si>
  <si>
    <t>Legal Public School</t>
  </si>
  <si>
    <t>2514</t>
  </si>
  <si>
    <t>Lilian Schick School</t>
  </si>
  <si>
    <t>2508</t>
  </si>
  <si>
    <t>Morinville Colony School</t>
  </si>
  <si>
    <t>0314</t>
  </si>
  <si>
    <t>Morinville Learning Centre</t>
  </si>
  <si>
    <t>1582</t>
  </si>
  <si>
    <t>Morinville Public School</t>
  </si>
  <si>
    <t>2507</t>
  </si>
  <si>
    <t>Namao School</t>
  </si>
  <si>
    <t>2509</t>
  </si>
  <si>
    <t>Oak Hill School</t>
  </si>
  <si>
    <t>2513</t>
  </si>
  <si>
    <t>Ochre Park School</t>
  </si>
  <si>
    <t>2623</t>
  </si>
  <si>
    <t>Redwater School</t>
  </si>
  <si>
    <t>2510</t>
  </si>
  <si>
    <t>Sturgeon Composite High School</t>
  </si>
  <si>
    <t>2506</t>
  </si>
  <si>
    <t>Sturgeon Heights School</t>
  </si>
  <si>
    <t>2516</t>
  </si>
  <si>
    <t>Sturgeon Learning Centre</t>
  </si>
  <si>
    <t>2354</t>
  </si>
  <si>
    <t>Sturgeon Public Summer School</t>
  </si>
  <si>
    <t>0056</t>
  </si>
  <si>
    <t>The Westwind School Division</t>
  </si>
  <si>
    <t>6213</t>
  </si>
  <si>
    <t>Big Bend Colony School</t>
  </si>
  <si>
    <t>0994</t>
  </si>
  <si>
    <t>Blue Ridge Colony School</t>
  </si>
  <si>
    <t>6204</t>
  </si>
  <si>
    <t>Cardston Elementary School</t>
  </si>
  <si>
    <t>6201</t>
  </si>
  <si>
    <t>Cardston High School</t>
  </si>
  <si>
    <t>6203</t>
  </si>
  <si>
    <t>Cardston Junior High School</t>
  </si>
  <si>
    <t>6214</t>
  </si>
  <si>
    <t>Crystal Spring Colony School</t>
  </si>
  <si>
    <t>6225</t>
  </si>
  <si>
    <t>Deerfield Colony School</t>
  </si>
  <si>
    <t>6215</t>
  </si>
  <si>
    <t>East Cardston Colony School</t>
  </si>
  <si>
    <t>6536</t>
  </si>
  <si>
    <t>East Raymond School</t>
  </si>
  <si>
    <t>6216</t>
  </si>
  <si>
    <t>Hutterville Colony School</t>
  </si>
  <si>
    <t>6211</t>
  </si>
  <si>
    <t>Magrath Elementary School</t>
  </si>
  <si>
    <t>6210</t>
  </si>
  <si>
    <t>Magrath Junior Senior High School</t>
  </si>
  <si>
    <t>6514</t>
  </si>
  <si>
    <t>Miami Colony School</t>
  </si>
  <si>
    <t>6515</t>
  </si>
  <si>
    <t>Milford Colony School</t>
  </si>
  <si>
    <t>6212</t>
  </si>
  <si>
    <t>Mountain View School</t>
  </si>
  <si>
    <t>6217</t>
  </si>
  <si>
    <t>New Elm Colony School</t>
  </si>
  <si>
    <t>6516</t>
  </si>
  <si>
    <t>New Rockport Colony School</t>
  </si>
  <si>
    <t>6517</t>
  </si>
  <si>
    <t>O K Colony School</t>
  </si>
  <si>
    <t>6218</t>
  </si>
  <si>
    <t>Old Elm Colony School</t>
  </si>
  <si>
    <t>2257</t>
  </si>
  <si>
    <t>Raymond Alternate School</t>
  </si>
  <si>
    <t>6508</t>
  </si>
  <si>
    <t>Raymond Elementary School</t>
  </si>
  <si>
    <t>6506</t>
  </si>
  <si>
    <t>Raymond High School</t>
  </si>
  <si>
    <t>6507</t>
  </si>
  <si>
    <t>Raymond Junior High School</t>
  </si>
  <si>
    <t>6219</t>
  </si>
  <si>
    <t>Riverside Colony School</t>
  </si>
  <si>
    <t>6220</t>
  </si>
  <si>
    <t>Rockport Colony School</t>
  </si>
  <si>
    <t>6207</t>
  </si>
  <si>
    <t>Spring Glen Elementary School</t>
  </si>
  <si>
    <t>6223</t>
  </si>
  <si>
    <t>Spring Glen Junior High School</t>
  </si>
  <si>
    <t>0011</t>
  </si>
  <si>
    <t>Spring Valley Colony School</t>
  </si>
  <si>
    <t>6221</t>
  </si>
  <si>
    <t>Standoff Colony School</t>
  </si>
  <si>
    <t>6535</t>
  </si>
  <si>
    <t>Stirling School</t>
  </si>
  <si>
    <t>6222</t>
  </si>
  <si>
    <t>West Raley Colony School</t>
  </si>
  <si>
    <t>0576</t>
  </si>
  <si>
    <t>Westwind Alternate School</t>
  </si>
  <si>
    <t>6519</t>
  </si>
  <si>
    <t>Wolf Creek Colony School</t>
  </si>
  <si>
    <t>The Wetaskiwin School Division</t>
  </si>
  <si>
    <t>3101</t>
  </si>
  <si>
    <t>Alder Flats Elementary School</t>
  </si>
  <si>
    <t>3102</t>
  </si>
  <si>
    <t>Buck Mountain Central School</t>
  </si>
  <si>
    <t>1526</t>
  </si>
  <si>
    <t>Buck Mountain Outreach Program</t>
  </si>
  <si>
    <t>3145</t>
  </si>
  <si>
    <t>3103</t>
  </si>
  <si>
    <t>Clear Vista School</t>
  </si>
  <si>
    <t>3105</t>
  </si>
  <si>
    <t>Falun School</t>
  </si>
  <si>
    <t>3112</t>
  </si>
  <si>
    <t>Griffiths-Scott School</t>
  </si>
  <si>
    <t>3107</t>
  </si>
  <si>
    <t>Lakedell School</t>
  </si>
  <si>
    <t>1300</t>
  </si>
  <si>
    <t>Lynn Lauren School</t>
  </si>
  <si>
    <t>3146</t>
  </si>
  <si>
    <t>3142</t>
  </si>
  <si>
    <t>Parkdale School</t>
  </si>
  <si>
    <t>3114</t>
  </si>
  <si>
    <t>Pigeon Lake Outreach</t>
  </si>
  <si>
    <t>3104</t>
  </si>
  <si>
    <t>Pigeon Lake Regional</t>
  </si>
  <si>
    <t>0312</t>
  </si>
  <si>
    <t>Pine Haven School</t>
  </si>
  <si>
    <t>3109</t>
  </si>
  <si>
    <t>Pipestone School</t>
  </si>
  <si>
    <t>3143</t>
  </si>
  <si>
    <t>1447</t>
  </si>
  <si>
    <t>Silver Creek School</t>
  </si>
  <si>
    <t>3144</t>
  </si>
  <si>
    <t>Wetaskiwin Composite High School</t>
  </si>
  <si>
    <t>3113</t>
  </si>
  <si>
    <t>Wetaskiwin Home Education School</t>
  </si>
  <si>
    <t>3148</t>
  </si>
  <si>
    <t>Wetaskiwin Outreach</t>
  </si>
  <si>
    <t>3111</t>
  </si>
  <si>
    <t>Winfield Elementary School</t>
  </si>
  <si>
    <t>1325</t>
  </si>
  <si>
    <t xml:space="preserve">The Wild Rose School Division </t>
  </si>
  <si>
    <t>2231</t>
  </si>
  <si>
    <t>Aurora Elementary School</t>
  </si>
  <si>
    <t>3203</t>
  </si>
  <si>
    <t>Breton Elementary School</t>
  </si>
  <si>
    <t>3202</t>
  </si>
  <si>
    <t>Breton High School</t>
  </si>
  <si>
    <t>4101</t>
  </si>
  <si>
    <t>Caroline School</t>
  </si>
  <si>
    <t>4103</t>
  </si>
  <si>
    <t>Charlotte Small Elementary School</t>
  </si>
  <si>
    <t>4102</t>
  </si>
  <si>
    <t>2289</t>
  </si>
  <si>
    <t>Drayton Christian School</t>
  </si>
  <si>
    <t>1017</t>
  </si>
  <si>
    <t>Drayton Valley Community Outreach School</t>
  </si>
  <si>
    <t>4106</t>
  </si>
  <si>
    <t>Ecole Rocky Elementary School</t>
  </si>
  <si>
    <t>2203</t>
  </si>
  <si>
    <t>Evergreen Elementary School</t>
  </si>
  <si>
    <t>2201</t>
  </si>
  <si>
    <t>Frank Maddock High School</t>
  </si>
  <si>
    <t>2202</t>
  </si>
  <si>
    <t>H W Pickup Junior High School</t>
  </si>
  <si>
    <t>4111</t>
  </si>
  <si>
    <t>Kootenay School</t>
  </si>
  <si>
    <t>4107</t>
  </si>
  <si>
    <t>Lochearn Elementary School</t>
  </si>
  <si>
    <t>4109</t>
  </si>
  <si>
    <t>Pioneer School</t>
  </si>
  <si>
    <t>4192</t>
  </si>
  <si>
    <t>Rocky Christian School</t>
  </si>
  <si>
    <t>0531</t>
  </si>
  <si>
    <t>Visions West School</t>
  </si>
  <si>
    <t>West Central High School</t>
  </si>
  <si>
    <t>0054</t>
  </si>
  <si>
    <t>The Wolf Creek School Division</t>
  </si>
  <si>
    <t>4301</t>
  </si>
  <si>
    <t>Alix (Mirror and Alix Central)</t>
  </si>
  <si>
    <t>4320</t>
  </si>
  <si>
    <t>Alix Colony School</t>
  </si>
  <si>
    <t>0586</t>
  </si>
  <si>
    <t>Bentley Colony School</t>
  </si>
  <si>
    <t>4302</t>
  </si>
  <si>
    <t>Bentley School</t>
  </si>
  <si>
    <t>4201</t>
  </si>
  <si>
    <t>Bluffton School</t>
  </si>
  <si>
    <t>4305</t>
  </si>
  <si>
    <t>Clive School</t>
  </si>
  <si>
    <t>4202</t>
  </si>
  <si>
    <t>Crestomere School</t>
  </si>
  <si>
    <t>4315</t>
  </si>
  <si>
    <t>Eckville Elementary School</t>
  </si>
  <si>
    <t>4306</t>
  </si>
  <si>
    <t>Eckville Junior Senior High School</t>
  </si>
  <si>
    <t>4309</t>
  </si>
  <si>
    <t>Ecole James S. McCormick School</t>
  </si>
  <si>
    <t>4308</t>
  </si>
  <si>
    <t>Ecole Lacombe Junior High School</t>
  </si>
  <si>
    <t>4319</t>
  </si>
  <si>
    <t>Ecole Lacombe Upper Elementary School</t>
  </si>
  <si>
    <t>4307</t>
  </si>
  <si>
    <t>Ecole Secondaire Lacombe Composite High School</t>
  </si>
  <si>
    <t>4213</t>
  </si>
  <si>
    <t>Ferrybank Colony School</t>
  </si>
  <si>
    <t>1464</t>
  </si>
  <si>
    <t>Iron Ridge Elementary Campus</t>
  </si>
  <si>
    <t>2061</t>
  </si>
  <si>
    <t>Iron Ridge Intermediate Campus</t>
  </si>
  <si>
    <t>4304</t>
  </si>
  <si>
    <t>Iron Ridge Junior Campus</t>
  </si>
  <si>
    <t>4322</t>
  </si>
  <si>
    <t>Lacombe Outreach School</t>
  </si>
  <si>
    <t>4317</t>
  </si>
  <si>
    <t>Leedale Hutterite Colony</t>
  </si>
  <si>
    <t>4204</t>
  </si>
  <si>
    <t>Mecca Glen School</t>
  </si>
  <si>
    <t>4316</t>
  </si>
  <si>
    <t>Pleasant Valley Colony School</t>
  </si>
  <si>
    <t>4207</t>
  </si>
  <si>
    <t>Ponoka Elementary School</t>
  </si>
  <si>
    <t>4205</t>
  </si>
  <si>
    <t>Ponoka Secondary Campus</t>
  </si>
  <si>
    <t>4210</t>
  </si>
  <si>
    <t>Rimbey Elementary School</t>
  </si>
  <si>
    <t>4209</t>
  </si>
  <si>
    <t>Rimbey Junior Senior High School</t>
  </si>
  <si>
    <t>4310</t>
  </si>
  <si>
    <t>Terrace Ridge School</t>
  </si>
  <si>
    <t>4203</t>
  </si>
  <si>
    <t>The Brick Learning Centre</t>
  </si>
  <si>
    <t>0488</t>
  </si>
  <si>
    <t>West Country Outreach School</t>
  </si>
  <si>
    <t>4299</t>
  </si>
  <si>
    <t>Wolf Creek Education Centre</t>
  </si>
  <si>
    <t>2159</t>
  </si>
  <si>
    <t>Wolf Creek Summer School</t>
  </si>
  <si>
    <t>Day Counts</t>
  </si>
  <si>
    <t>Type</t>
  </si>
  <si>
    <t>Count</t>
  </si>
  <si>
    <t>Timetable Lookups</t>
  </si>
  <si>
    <t>Operational</t>
  </si>
  <si>
    <t>Day</t>
  </si>
  <si>
    <t>Instruction</t>
  </si>
  <si>
    <t>Non-Instruction</t>
  </si>
  <si>
    <t>Description</t>
  </si>
  <si>
    <t>TimetableCode</t>
  </si>
  <si>
    <t>Valid</t>
  </si>
  <si>
    <t>Activity 2</t>
  </si>
  <si>
    <t>RotationDay</t>
  </si>
  <si>
    <t>Weekday</t>
  </si>
  <si>
    <t>Month Number</t>
  </si>
  <si>
    <t>NonInstruction</t>
  </si>
  <si>
    <t>Exception Totals</t>
  </si>
  <si>
    <t>Type of Day</t>
  </si>
  <si>
    <t>Use</t>
  </si>
  <si>
    <t>Type of Activity</t>
  </si>
  <si>
    <t>Classification</t>
  </si>
  <si>
    <t>Rotation Types</t>
  </si>
  <si>
    <t>Code</t>
  </si>
  <si>
    <t>Break - Unassigned</t>
  </si>
  <si>
    <t>Meeting</t>
  </si>
  <si>
    <t>Three day rotation</t>
  </si>
  <si>
    <t>Morning Prayer</t>
  </si>
  <si>
    <t>Four day rotation</t>
  </si>
  <si>
    <t>Prep - Unassigned</t>
  </si>
  <si>
    <t>Five day rotation</t>
  </si>
  <si>
    <t>Prep - Assigned</t>
  </si>
  <si>
    <t>Six day rotation</t>
  </si>
  <si>
    <t>Transition</t>
  </si>
  <si>
    <t>Supervision</t>
  </si>
  <si>
    <t>Term</t>
  </si>
  <si>
    <t>Term Numbers</t>
  </si>
  <si>
    <t>School Board (drop-down)</t>
  </si>
  <si>
    <t>School  (drop-down)</t>
  </si>
  <si>
    <t>How many terms are in your school's calendar?  (drop-down)</t>
  </si>
  <si>
    <t>Does your calendar have early dismissals?  (drop-down)</t>
  </si>
  <si>
    <t>How many timetable variants for early dismissal?  (drop-down)</t>
  </si>
  <si>
    <t>If so, how many variants?  (drop-down)</t>
  </si>
  <si>
    <t>Assigned Time (Non-Instructional)</t>
  </si>
  <si>
    <t>Assignable Time</t>
  </si>
  <si>
    <t>Cumulative Totals</t>
  </si>
  <si>
    <t>Remaining Available</t>
  </si>
  <si>
    <t>Not Scheduled</t>
  </si>
  <si>
    <t>Are you employed part-time and only work certain days each week?</t>
  </si>
  <si>
    <t>Total Instruction Hours</t>
  </si>
  <si>
    <t>Total Non-Instruction Hours</t>
  </si>
  <si>
    <t>Total Assigned Time</t>
  </si>
  <si>
    <t>You indicate that you are part time and only work on certain days. You will need to block off the days that you are not working as "Not Scheduled" using the drop-down menu for day selection.</t>
  </si>
  <si>
    <t>The items highlighted in red are mandatory - the calculator won't work if they are left blank.</t>
  </si>
  <si>
    <t xml:space="preserve">Also see the joint interpretation bulletin dealing with assignable time. (click here) </t>
  </si>
  <si>
    <t>Number of teachers on staff (headcount, not FTE)</t>
  </si>
  <si>
    <t>NumTeachers</t>
  </si>
  <si>
    <t>First operational day (YYYY-MM-DD)</t>
  </si>
  <si>
    <t>First instructional day in Term 1 (YYYY-MM-DD)</t>
  </si>
  <si>
    <t>First instructional day in Term 2 (YYYY-MM-DD)</t>
  </si>
  <si>
    <t>First instructional day in Term 3 (YYYY-MM-DD)</t>
  </si>
  <si>
    <t>First instructional day in Term 4 (YYYY-MM-DD)</t>
  </si>
  <si>
    <t>Last operational day (YYYY-MM-DD)</t>
  </si>
  <si>
    <t>Schedule type  (drop-down)</t>
  </si>
  <si>
    <t>Does your calendar use "Extra Days" or "Special Days"?  (drop-down)</t>
  </si>
  <si>
    <t>Checking dates</t>
  </si>
  <si>
    <t>Checking Contents</t>
  </si>
  <si>
    <t>Day 7</t>
  </si>
  <si>
    <t>Day 8</t>
  </si>
  <si>
    <t>Day 9</t>
  </si>
  <si>
    <t>Ten day rotation</t>
  </si>
  <si>
    <t>Proceed to Calendar Setup</t>
  </si>
  <si>
    <t>Maximums</t>
  </si>
  <si>
    <t>Difference</t>
  </si>
  <si>
    <t>Percent of Maximum</t>
  </si>
  <si>
    <t>Typical Full-Time Hours (default is 1200 if empty)</t>
  </si>
  <si>
    <t>Early Dismissal 4</t>
  </si>
  <si>
    <t>Early Dismissal 5</t>
  </si>
  <si>
    <t>Early Dismissal 6</t>
  </si>
  <si>
    <t>Planning Day</t>
  </si>
  <si>
    <t>How many minutes in a typical planning day (360 default)</t>
  </si>
  <si>
    <t>How many minutes in a typical PD/In-Service day? (360 default)</t>
  </si>
  <si>
    <t>PD/In-Service Day</t>
  </si>
  <si>
    <t>Exception Assignor</t>
  </si>
  <si>
    <t>Principal</t>
  </si>
  <si>
    <t>VP/AP</t>
  </si>
  <si>
    <t>Department Head</t>
  </si>
  <si>
    <t>Central Office</t>
  </si>
  <si>
    <t>Assigned By</t>
  </si>
  <si>
    <t>Operational Non-Instr</t>
  </si>
  <si>
    <t>Notes</t>
  </si>
  <si>
    <t>2564</t>
  </si>
  <si>
    <t>Ohpaho Secondary School</t>
  </si>
  <si>
    <t>2489</t>
  </si>
  <si>
    <t>St. Gemma Outreach High School</t>
  </si>
  <si>
    <t>2531</t>
  </si>
  <si>
    <t xml:space="preserve">CLS Forest Lawn Writing Centre </t>
  </si>
  <si>
    <t>North Trail High School</t>
  </si>
  <si>
    <t>2495</t>
  </si>
  <si>
    <t>Centre For Learning@Home Summer School</t>
  </si>
  <si>
    <t>École Good Shepherd School</t>
  </si>
  <si>
    <t xml:space="preserve">École Beauséjour </t>
  </si>
  <si>
    <t xml:space="preserve">École des Beaux-Lacs </t>
  </si>
  <si>
    <t xml:space="preserve">École du Sommet </t>
  </si>
  <si>
    <t xml:space="preserve">École Voyageur </t>
  </si>
  <si>
    <t>2597</t>
  </si>
  <si>
    <t>St. Josephine Bakhita Catholic Elementary/Junior High School</t>
  </si>
  <si>
    <t>2598</t>
  </si>
  <si>
    <t>Blessed John Paul I Catholic Elementary School</t>
  </si>
  <si>
    <t>2566</t>
  </si>
  <si>
    <t>Elder Dr. Francis Whiskeyjack School</t>
  </si>
  <si>
    <t>Wîhkwêntôwin School</t>
  </si>
  <si>
    <t>Ardrossan Elementary School</t>
  </si>
  <si>
    <t xml:space="preserve">Foothills Digital School </t>
  </si>
  <si>
    <t>2633</t>
  </si>
  <si>
    <t>De Oabeit Collegiate School</t>
  </si>
  <si>
    <t>2634</t>
  </si>
  <si>
    <t>Gramson Centre Collegiate School</t>
  </si>
  <si>
    <t>2635</t>
  </si>
  <si>
    <t>Sipiwan Centre 15 Collegiate School</t>
  </si>
  <si>
    <t>1179</t>
  </si>
  <si>
    <t>École Publique Gabrielle-Roy</t>
  </si>
  <si>
    <t>École Saint-Christophe</t>
  </si>
  <si>
    <t>École Desrochers</t>
  </si>
  <si>
    <t>Centre francophone d'éducation à distance</t>
  </si>
  <si>
    <t xml:space="preserve">École À la Découverte </t>
  </si>
  <si>
    <t>École La Trinité</t>
  </si>
  <si>
    <t>École Citadelle</t>
  </si>
  <si>
    <t>École La Mission</t>
  </si>
  <si>
    <t>École La Prairie</t>
  </si>
  <si>
    <t>2599</t>
  </si>
  <si>
    <t>École Jean-Claude-Mahé</t>
  </si>
  <si>
    <t xml:space="preserve">École Père-Lacombe </t>
  </si>
  <si>
    <t>École Notre-Dame</t>
  </si>
  <si>
    <t xml:space="preserve">École Maurice-Lavallée </t>
  </si>
  <si>
    <t>École Sacré-Coeur</t>
  </si>
  <si>
    <t>2652</t>
  </si>
  <si>
    <t>St. Thomas More</t>
  </si>
  <si>
    <t>2637</t>
  </si>
  <si>
    <t>West Coulee Station Elementary School</t>
  </si>
  <si>
    <t>2481</t>
  </si>
  <si>
    <t>École St. Anne School</t>
  </si>
  <si>
    <t>2626</t>
  </si>
  <si>
    <t>St. Nicholas Early Learning School</t>
  </si>
  <si>
    <t>École Nouvelle Frontière</t>
  </si>
  <si>
    <t>École des Quatre-Vents</t>
  </si>
  <si>
    <t>2596</t>
  </si>
  <si>
    <t>Coaldale Prairie Winds Secondary</t>
  </si>
  <si>
    <t>2630</t>
  </si>
  <si>
    <t>Southern Alberta Collegiate Institute</t>
  </si>
  <si>
    <t>2632</t>
  </si>
  <si>
    <t>Imaginal+</t>
  </si>
  <si>
    <t>2561</t>
  </si>
  <si>
    <t xml:space="preserve">Al-Amal Online Academy </t>
  </si>
  <si>
    <t>2627</t>
  </si>
  <si>
    <t>Wind River Colony School</t>
  </si>
  <si>
    <t>2628</t>
  </si>
  <si>
    <t>East River Colony School</t>
  </si>
  <si>
    <t>2636</t>
  </si>
  <si>
    <t>Green Dome Islamic School</t>
  </si>
  <si>
    <t>Coulee Collegiate</t>
  </si>
  <si>
    <t>South Alberta High School</t>
  </si>
  <si>
    <t>2641</t>
  </si>
  <si>
    <t>South Alberta Collegiate (South Alberta Flight Academy)</t>
  </si>
  <si>
    <t>2590</t>
  </si>
  <si>
    <t>Horseshoe Crossing High School</t>
  </si>
  <si>
    <t xml:space="preserve">École Les Cyprès </t>
  </si>
  <si>
    <t xml:space="preserve">École de la Source </t>
  </si>
  <si>
    <t xml:space="preserve">École Notre-Dame des Monts </t>
  </si>
  <si>
    <t xml:space="preserve">École Notre-Dame des Vallées </t>
  </si>
  <si>
    <t xml:space="preserve">École Le Ruisseau </t>
  </si>
  <si>
    <t>École des Hautes-Plaines</t>
  </si>
  <si>
    <t xml:space="preserve">École Beausoleil </t>
  </si>
  <si>
    <t xml:space="preserve">École Terre des Jeunes </t>
  </si>
  <si>
    <t xml:space="preserve">École Notre-Dame-de-la-Paix </t>
  </si>
  <si>
    <t xml:space="preserve">École La Vérendrye </t>
  </si>
  <si>
    <t>2616</t>
  </si>
  <si>
    <t xml:space="preserve">École Sainte-Marguerite-Bourgeoys </t>
  </si>
  <si>
    <t xml:space="preserve">École de la Rose sauvage </t>
  </si>
  <si>
    <t>2586</t>
  </si>
  <si>
    <t>St. Albert Public Schools' Continuing Education</t>
  </si>
  <si>
    <t>Ashmont School</t>
  </si>
  <si>
    <t>The Sturgeon School Division</t>
  </si>
  <si>
    <t>2563</t>
  </si>
  <si>
    <t>Iron Ridge Secondary Campus</t>
  </si>
  <si>
    <t>École Ste Marguerite d’Youville</t>
  </si>
  <si>
    <t>St. Isidore Writing Centre</t>
  </si>
  <si>
    <t>Kneehill Colony School</t>
  </si>
  <si>
    <t>Forest Grove School</t>
  </si>
  <si>
    <t>Living Spirit School</t>
  </si>
  <si>
    <t>École Horizon Heights School</t>
  </si>
  <si>
    <t>Our Lady Queen of Peace School</t>
  </si>
  <si>
    <t>Milk River Ridge School</t>
  </si>
  <si>
    <t>awâsis waciston School</t>
  </si>
  <si>
    <t>St. Paul School</t>
  </si>
  <si>
    <t>2659</t>
  </si>
  <si>
    <t>2660</t>
  </si>
  <si>
    <t>2662</t>
  </si>
  <si>
    <t>2663</t>
  </si>
  <si>
    <t>2664</t>
  </si>
  <si>
    <t>2668</t>
  </si>
  <si>
    <t>2675</t>
  </si>
  <si>
    <t>2734</t>
  </si>
  <si>
    <t>8523</t>
  </si>
  <si>
    <t>9332</t>
  </si>
  <si>
    <t>6021</t>
  </si>
  <si>
    <t>Almadina School Society</t>
  </si>
  <si>
    <t>6007</t>
  </si>
  <si>
    <t>Almadina Language Charter Academy, Mountain View Campus</t>
  </si>
  <si>
    <t>1725</t>
  </si>
  <si>
    <t>Almadina Language Charter Academy, Ogden Campus</t>
  </si>
  <si>
    <t>2631</t>
  </si>
  <si>
    <t>Calgary Charter School Hub – Almadina Campus</t>
  </si>
  <si>
    <t>6020</t>
  </si>
  <si>
    <t>Aurora School Ltd.</t>
  </si>
  <si>
    <t>2731</t>
  </si>
  <si>
    <t>Aurora Academic Charter School - Skyrattler</t>
  </si>
  <si>
    <t>2439</t>
  </si>
  <si>
    <t>Aurora Academic Charter School Alberta Avenue Campus</t>
  </si>
  <si>
    <t>6006</t>
  </si>
  <si>
    <t>Aurora Academic Charter School Sherbrooke Campus</t>
  </si>
  <si>
    <t>6017</t>
  </si>
  <si>
    <t>Boyle Street Education Centre</t>
  </si>
  <si>
    <t>6003</t>
  </si>
  <si>
    <t>6015</t>
  </si>
  <si>
    <t>New Horizons Charter School Society</t>
  </si>
  <si>
    <t>6001</t>
  </si>
  <si>
    <t>New Horizons School</t>
  </si>
  <si>
    <t>2779</t>
  </si>
  <si>
    <t>Evanston Heights School</t>
  </si>
  <si>
    <t>Penhold Waskasoo Middle School</t>
  </si>
  <si>
    <t>2740</t>
  </si>
  <si>
    <t>Heartland Academy</t>
  </si>
  <si>
    <t>2789</t>
  </si>
  <si>
    <t>Our Lady of Hope Catholic Elementary/Junior High School</t>
  </si>
  <si>
    <t>St. Carlo Acutis Catholic School</t>
  </si>
  <si>
    <t>2786</t>
  </si>
  <si>
    <t>St. Genevieve Catholic Elementary/Junior High School</t>
  </si>
  <si>
    <t>2788</t>
  </si>
  <si>
    <t>St. Michael the Archangel Catholic Elementary/Junior High School</t>
  </si>
  <si>
    <t>2798</t>
  </si>
  <si>
    <t>St. Nicholas Catholic Elementary/Junior High School</t>
  </si>
  <si>
    <t>2787</t>
  </si>
  <si>
    <t>St. Patrick Catholic Elementary/Junior High School</t>
  </si>
  <si>
    <t>2799</t>
  </si>
  <si>
    <t>St. Sophia Catholic Elementary/Junior High School</t>
  </si>
  <si>
    <t>St. Carlo Acutis Catholic High School</t>
  </si>
  <si>
    <t>2735</t>
  </si>
  <si>
    <t>Campus EIPS</t>
  </si>
  <si>
    <t>2827</t>
  </si>
  <si>
    <t>Wood Buffalo Athletics Academy</t>
  </si>
  <si>
    <t>2812</t>
  </si>
  <si>
    <t>Golden Hills Learning Academy - South</t>
  </si>
  <si>
    <t>École Sainte-Jeanne-d'Arc</t>
  </si>
  <si>
    <t>2769</t>
  </si>
  <si>
    <t>St. Kateri Elementary School</t>
  </si>
  <si>
    <t>2768</t>
  </si>
  <si>
    <t>PEAKS Collegiate Campus</t>
  </si>
  <si>
    <t xml:space="preserve">Elk Lodge School </t>
  </si>
  <si>
    <t>2763</t>
  </si>
  <si>
    <t>Trades Exposure Centre</t>
  </si>
  <si>
    <t>2746</t>
  </si>
  <si>
    <t>Summerland Colony School</t>
  </si>
  <si>
    <t>Manning Aurora Composite School</t>
  </si>
  <si>
    <t>Peace Learning Connection</t>
  </si>
  <si>
    <t>2739</t>
  </si>
  <si>
    <t xml:space="preserve">Calgary Islamic School, Akram Jomaa Campus </t>
  </si>
  <si>
    <t>2738</t>
  </si>
  <si>
    <t>2772</t>
  </si>
  <si>
    <t>Link School</t>
  </si>
  <si>
    <t>2771</t>
  </si>
  <si>
    <t>Rosebank Colony School</t>
  </si>
  <si>
    <t>École de l’Horizon</t>
  </si>
  <si>
    <t>École de l’Oasis</t>
  </si>
  <si>
    <t>École secondaire Le Phare</t>
  </si>
  <si>
    <t>École Sentiers de la Rivière</t>
  </si>
  <si>
    <t>0224</t>
  </si>
  <si>
    <t>Valhalla School Foundation</t>
  </si>
  <si>
    <t>1439</t>
  </si>
  <si>
    <t>Valhalla Community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</si>
</sst>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
    <numFmt numFmtId="165" formatCode="0.0000"/>
    <numFmt numFmtId="166" formatCode="h:mm;@"/>
    <numFmt numFmtId="167" formatCode="[$-F400]h:mm:ss\ AM/PM"/>
    <numFmt numFmtId="168" formatCode="yyyy\-mm\-dd;@"/>
  </numFmts>
  <fonts count="40" x14ac:knownFonts="1">
    <font>
      <sz val="11"/>
      <name val="Trebuchet MS"/>
      <family val="2"/>
      <scheme val="minor"/>
    </font>
    <font>
      <sz val="11"/>
      <color theme="1"/>
      <name val="Trebuchet MS"/>
      <family val="2"/>
      <scheme val="minor"/>
    </font>
    <font>
      <sz val="11"/>
      <color theme="1"/>
      <name val="Trebuchet MS"/>
      <family val="2"/>
      <scheme val="minor"/>
    </font>
    <font>
      <sz val="8"/>
      <name val="Arial"/>
      <family val="2"/>
    </font>
    <font>
      <b/>
      <sz val="11"/>
      <color theme="0"/>
      <name val="Trebuchet MS"/>
      <family val="2"/>
      <scheme val="minor"/>
    </font>
    <font>
      <b/>
      <sz val="14"/>
      <color theme="0"/>
      <name val="Trebuchet MS"/>
      <family val="2"/>
      <scheme val="minor"/>
    </font>
    <font>
      <b/>
      <sz val="28"/>
      <color theme="0"/>
      <name val="Franklin Gothic Medium Cond"/>
      <family val="2"/>
      <scheme val="major"/>
    </font>
    <font>
      <sz val="36"/>
      <color theme="4" tint="-0.24994659260841701"/>
      <name val="Trebuchet MS"/>
      <family val="2"/>
      <scheme val="minor"/>
    </font>
    <font>
      <b/>
      <sz val="11"/>
      <color theme="3"/>
      <name val="Franklin Gothic Medium Cond"/>
      <family val="2"/>
      <scheme val="major"/>
    </font>
    <font>
      <sz val="16"/>
      <color theme="1"/>
      <name val="Trebuchet MS"/>
      <family val="2"/>
      <scheme val="minor"/>
    </font>
    <font>
      <b/>
      <sz val="11"/>
      <color theme="0"/>
      <name val="Franklin Gothic Medium Cond"/>
      <family val="2"/>
      <scheme val="major"/>
    </font>
    <font>
      <sz val="11"/>
      <name val="Trebuchet MS"/>
      <family val="2"/>
      <scheme val="minor"/>
    </font>
    <font>
      <sz val="11"/>
      <color theme="1"/>
      <name val="Franklin Gothic Medium Cond"/>
      <family val="2"/>
      <scheme val="major"/>
    </font>
    <font>
      <sz val="11"/>
      <color indexed="63"/>
      <name val="Trebuchet MS"/>
      <family val="2"/>
      <scheme val="minor"/>
    </font>
    <font>
      <b/>
      <sz val="11"/>
      <color theme="1"/>
      <name val="Trebuchet MS"/>
      <family val="2"/>
      <scheme val="minor"/>
    </font>
    <font>
      <i/>
      <sz val="11"/>
      <color theme="3" tint="-0.24994659260841701"/>
      <name val="Trebuchet MS"/>
      <family val="2"/>
      <scheme val="minor"/>
    </font>
    <font>
      <sz val="11"/>
      <color theme="1" tint="0.14999847407452621"/>
      <name val="Trebuchet MS"/>
      <family val="2"/>
    </font>
    <font>
      <sz val="16"/>
      <color theme="1" tint="0.14999847407452621"/>
      <name val="Trebuchet MS"/>
      <family val="2"/>
      <scheme val="minor"/>
    </font>
    <font>
      <sz val="10"/>
      <color theme="1" tint="0.14999847407452621"/>
      <name val="Trebuchet MS"/>
      <family val="2"/>
      <scheme val="minor"/>
    </font>
    <font>
      <sz val="11"/>
      <color theme="1" tint="0.14999847407452621"/>
      <name val="Trebuchet MS"/>
      <family val="2"/>
      <scheme val="minor"/>
    </font>
    <font>
      <sz val="12"/>
      <color theme="1" tint="0.14999847407452621"/>
      <name val="Trebuchet MS"/>
      <family val="2"/>
      <scheme val="minor"/>
    </font>
    <font>
      <sz val="14"/>
      <color theme="1" tint="0.14999847407452621"/>
      <name val="Trebuchet MS"/>
      <family val="2"/>
      <scheme val="minor"/>
    </font>
    <font>
      <sz val="36"/>
      <color theme="1" tint="0.14999847407452621"/>
      <name val="Trebuchet MS"/>
      <family val="2"/>
      <scheme val="minor"/>
    </font>
    <font>
      <sz val="8"/>
      <name val="Trebuchet MS"/>
      <family val="2"/>
      <scheme val="minor"/>
    </font>
    <font>
      <b/>
      <sz val="11"/>
      <name val="Trebuchet MS"/>
      <family val="2"/>
      <scheme val="minor"/>
    </font>
    <font>
      <b/>
      <sz val="24"/>
      <name val="Trebuchet MS"/>
      <family val="2"/>
      <scheme val="minor"/>
    </font>
    <font>
      <sz val="42"/>
      <color rgb="FFEACD4D"/>
      <name val="Franklin Gothic Medium Cond"/>
      <family val="2"/>
      <scheme val="major"/>
    </font>
    <font>
      <b/>
      <sz val="12"/>
      <color rgb="FFEACD4D"/>
      <name val="Trebuchet MS"/>
      <family val="2"/>
      <scheme val="minor"/>
    </font>
    <font>
      <sz val="11"/>
      <color rgb="FFEACD4D"/>
      <name val="Trebuchet MS"/>
      <family val="2"/>
      <scheme val="minor"/>
    </font>
    <font>
      <sz val="11"/>
      <color theme="0"/>
      <name val="Trebuchet MS"/>
      <family val="2"/>
      <scheme val="minor"/>
    </font>
    <font>
      <b/>
      <sz val="11"/>
      <color rgb="FF000000"/>
      <name val="Trebuchet MS"/>
      <family val="2"/>
      <scheme val="minor"/>
    </font>
    <font>
      <sz val="24"/>
      <name val="Trebuchet MS"/>
      <family val="2"/>
      <scheme val="minor"/>
    </font>
    <font>
      <sz val="18"/>
      <name val="Trebuchet MS"/>
      <family val="2"/>
      <scheme val="minor"/>
    </font>
    <font>
      <sz val="10"/>
      <color theme="0"/>
      <name val="Trebuchet MS"/>
      <family val="2"/>
      <scheme val="minor"/>
    </font>
    <font>
      <u/>
      <sz val="11"/>
      <color theme="10"/>
      <name val="Trebuchet MS"/>
      <family val="2"/>
      <scheme val="minor"/>
    </font>
    <font>
      <sz val="22"/>
      <name val="Trebuchet MS"/>
      <family val="2"/>
      <scheme val="minor"/>
    </font>
    <font>
      <sz val="20"/>
      <name val="Trebuchet MS"/>
      <family val="2"/>
      <scheme val="minor"/>
    </font>
    <font>
      <sz val="14"/>
      <color theme="0"/>
      <name val="Trebuchet MS"/>
      <family val="2"/>
      <scheme val="minor"/>
    </font>
    <font>
      <u/>
      <sz val="11"/>
      <color theme="0"/>
      <name val="Trebuchet MS"/>
      <family val="2"/>
      <scheme val="minor"/>
    </font>
    <font>
      <sz val="10"/>
      <color theme="1"/>
      <name val="Trebuchet MS"/>
      <family val="2"/>
      <scheme val="minor"/>
    </font>
  </fonts>
  <fills count="14">
    <fill>
      <patternFill patternType="none"/>
    </fill>
    <fill>
      <patternFill patternType="gray125"/>
    </fill>
    <fill>
      <patternFill patternType="solid">
        <fgColor indexed="9"/>
        <bgColor indexed="64"/>
      </patternFill>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rgb="FF003FA2"/>
        <bgColor indexed="64"/>
      </patternFill>
    </fill>
    <fill>
      <patternFill patternType="solid">
        <fgColor rgb="FF0058E6"/>
        <bgColor indexed="64"/>
      </patternFill>
    </fill>
    <fill>
      <patternFill patternType="solid">
        <fgColor theme="1"/>
        <bgColor indexed="64"/>
      </patternFill>
    </fill>
  </fills>
  <borders count="77">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right style="thin">
        <color theme="0" tint="-0.14993743705557422"/>
      </right>
      <top/>
      <bottom/>
      <diagonal/>
    </border>
    <border>
      <left/>
      <right/>
      <top/>
      <bottom style="thin">
        <color theme="8" tint="0.79998168889431442"/>
      </bottom>
      <diagonal/>
    </border>
    <border>
      <left/>
      <right/>
      <top style="thin">
        <color theme="8" tint="0.79998168889431442"/>
      </top>
      <bottom/>
      <diagonal/>
    </border>
    <border>
      <left/>
      <right/>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diagonal/>
    </border>
    <border>
      <left/>
      <right/>
      <top/>
      <bottom style="thin">
        <color theme="8" tint="0.79989013336588644"/>
      </bottom>
      <diagonal/>
    </border>
    <border>
      <left/>
      <right/>
      <top style="thin">
        <color theme="8" tint="0.79989013336588644"/>
      </top>
      <bottom/>
      <diagonal/>
    </border>
    <border>
      <left/>
      <right/>
      <top/>
      <bottom style="thin">
        <color theme="8" tint="0.79985961485641044"/>
      </bottom>
      <diagonal/>
    </border>
    <border>
      <left/>
      <right style="thin">
        <color theme="8" tint="0.79998168889431442"/>
      </right>
      <top/>
      <bottom/>
      <diagonal/>
    </border>
    <border>
      <left/>
      <right style="thin">
        <color theme="8" tint="0.79998168889431442"/>
      </right>
      <top style="thin">
        <color theme="8" tint="0.79998168889431442"/>
      </top>
      <bottom/>
      <diagonal/>
    </border>
    <border>
      <left/>
      <right style="thin">
        <color theme="8" tint="0.79998168889431442"/>
      </right>
      <top/>
      <bottom style="thin">
        <color theme="8" tint="0.79995117038483843"/>
      </bottom>
      <diagonal/>
    </border>
    <border>
      <left/>
      <right style="thin">
        <color theme="8" tint="0.79998168889431442"/>
      </right>
      <top style="thin">
        <color theme="8" tint="0.79995117038483843"/>
      </top>
      <bottom/>
      <diagonal/>
    </border>
    <border>
      <left/>
      <right style="thin">
        <color theme="8" tint="0.79998168889431442"/>
      </right>
      <top/>
      <bottom style="thin">
        <color theme="8" tint="0.79992065187536243"/>
      </bottom>
      <diagonal/>
    </border>
    <border>
      <left/>
      <right style="thin">
        <color theme="8" tint="0.79998168889431442"/>
      </right>
      <top style="thin">
        <color theme="8" tint="0.79992065187536243"/>
      </top>
      <bottom/>
      <diagonal/>
    </border>
    <border>
      <left/>
      <right style="thin">
        <color theme="8" tint="0.79998168889431442"/>
      </right>
      <top/>
      <bottom style="thin">
        <color theme="8" tint="0.79989013336588644"/>
      </bottom>
      <diagonal/>
    </border>
    <border>
      <left/>
      <right style="thin">
        <color theme="8" tint="0.79998168889431442"/>
      </right>
      <top style="thin">
        <color theme="8" tint="0.79989013336588644"/>
      </top>
      <bottom/>
      <diagonal/>
    </border>
    <border>
      <left/>
      <right style="thin">
        <color theme="8" tint="0.79998168889431442"/>
      </right>
      <top/>
      <bottom style="thin">
        <color theme="8" tint="0.79985961485641044"/>
      </bottom>
      <diagonal/>
    </border>
    <border>
      <left style="thin">
        <color theme="8" tint="0.79998168889431442"/>
      </left>
      <right style="thin">
        <color theme="8" tint="0.79995117038483843"/>
      </right>
      <top/>
      <bottom/>
      <diagonal/>
    </border>
    <border>
      <left style="thin">
        <color theme="8" tint="0.79998168889431442"/>
      </left>
      <right style="thin">
        <color theme="8" tint="0.79995117038483843"/>
      </right>
      <top style="thin">
        <color theme="8" tint="0.79998168889431442"/>
      </top>
      <bottom/>
      <diagonal/>
    </border>
    <border>
      <left style="thin">
        <color theme="8" tint="0.79998168889431442"/>
      </left>
      <right style="thin">
        <color theme="8" tint="0.79995117038483843"/>
      </right>
      <top style="thin">
        <color theme="8" tint="0.79995117038483843"/>
      </top>
      <bottom/>
      <diagonal/>
    </border>
    <border>
      <left style="thin">
        <color theme="8" tint="0.79998168889431442"/>
      </left>
      <right style="thin">
        <color theme="8" tint="0.79995117038483843"/>
      </right>
      <top style="thin">
        <color theme="8" tint="0.79992065187536243"/>
      </top>
      <bottom/>
      <diagonal/>
    </border>
    <border>
      <left style="thin">
        <color theme="8" tint="0.79998168889431442"/>
      </left>
      <right style="thin">
        <color theme="8" tint="0.79995117038483843"/>
      </right>
      <top style="thin">
        <color theme="8" tint="0.79989013336588644"/>
      </top>
      <bottom/>
      <diagonal/>
    </border>
    <border>
      <left style="thin">
        <color theme="8" tint="0.79995117038483843"/>
      </left>
      <right style="thin">
        <color theme="8" tint="0.79992065187536243"/>
      </right>
      <top/>
      <bottom/>
      <diagonal/>
    </border>
    <border>
      <left style="thin">
        <color theme="8" tint="0.79995117038483843"/>
      </left>
      <right style="thin">
        <color theme="8" tint="0.79992065187536243"/>
      </right>
      <top style="thin">
        <color theme="8" tint="0.79998168889431442"/>
      </top>
      <bottom/>
      <diagonal/>
    </border>
    <border>
      <left style="thin">
        <color theme="8" tint="0.79995117038483843"/>
      </left>
      <right style="thin">
        <color theme="8" tint="0.79992065187536243"/>
      </right>
      <top style="thin">
        <color theme="8" tint="0.79995117038483843"/>
      </top>
      <bottom/>
      <diagonal/>
    </border>
    <border>
      <left style="thin">
        <color theme="8" tint="0.79995117038483843"/>
      </left>
      <right style="thin">
        <color theme="8" tint="0.79992065187536243"/>
      </right>
      <top style="thin">
        <color theme="8" tint="0.79992065187536243"/>
      </top>
      <bottom/>
      <diagonal/>
    </border>
    <border>
      <left style="thin">
        <color theme="8" tint="0.79995117038483843"/>
      </left>
      <right style="thin">
        <color theme="8" tint="0.79992065187536243"/>
      </right>
      <top style="thin">
        <color theme="8" tint="0.79989013336588644"/>
      </top>
      <bottom/>
      <diagonal/>
    </border>
    <border>
      <left style="thin">
        <color theme="8" tint="0.79992065187536243"/>
      </left>
      <right style="thin">
        <color theme="8" tint="0.79989013336588644"/>
      </right>
      <top/>
      <bottom style="thin">
        <color theme="8" tint="0.79985961485641044"/>
      </bottom>
      <diagonal/>
    </border>
    <border>
      <left style="thin">
        <color theme="8" tint="0.79992065187536243"/>
      </left>
      <right style="thin">
        <color theme="8" tint="0.79989013336588644"/>
      </right>
      <top/>
      <bottom/>
      <diagonal/>
    </border>
    <border>
      <left style="thin">
        <color theme="8" tint="0.79992065187536243"/>
      </left>
      <right style="thin">
        <color theme="8" tint="0.79989013336588644"/>
      </right>
      <top style="thin">
        <color theme="8" tint="0.79998168889431442"/>
      </top>
      <bottom/>
      <diagonal/>
    </border>
    <border>
      <left style="thin">
        <color theme="8" tint="0.79992065187536243"/>
      </left>
      <right style="thin">
        <color theme="8" tint="0.79989013336588644"/>
      </right>
      <top style="thin">
        <color theme="8" tint="0.79995117038483843"/>
      </top>
      <bottom/>
      <diagonal/>
    </border>
    <border>
      <left style="thin">
        <color theme="8" tint="0.79992065187536243"/>
      </left>
      <right style="thin">
        <color theme="8" tint="0.79989013336588644"/>
      </right>
      <top style="thin">
        <color theme="8" tint="0.79992065187536243"/>
      </top>
      <bottom/>
      <diagonal/>
    </border>
    <border>
      <left style="thin">
        <color theme="8" tint="0.79992065187536243"/>
      </left>
      <right style="thin">
        <color theme="8" tint="0.79989013336588644"/>
      </right>
      <top style="thin">
        <color theme="8" tint="0.79989013336588644"/>
      </top>
      <bottom/>
      <diagonal/>
    </border>
    <border>
      <left style="thin">
        <color theme="8" tint="0.79989013336588644"/>
      </left>
      <right style="thin">
        <color theme="8" tint="0.79985961485641044"/>
      </right>
      <top/>
      <bottom/>
      <diagonal/>
    </border>
    <border>
      <left style="thin">
        <color theme="8" tint="0.79989013336588644"/>
      </left>
      <right style="thin">
        <color theme="8" tint="0.79985961485641044"/>
      </right>
      <top style="thin">
        <color theme="8" tint="0.79998168889431442"/>
      </top>
      <bottom/>
      <diagonal/>
    </border>
    <border>
      <left style="thin">
        <color theme="8" tint="0.79989013336588644"/>
      </left>
      <right style="thin">
        <color theme="8" tint="0.79985961485641044"/>
      </right>
      <top style="thin">
        <color theme="8" tint="0.79995117038483843"/>
      </top>
      <bottom/>
      <diagonal/>
    </border>
    <border>
      <left style="thin">
        <color theme="8" tint="0.79989013336588644"/>
      </left>
      <right style="thin">
        <color theme="8" tint="0.79985961485641044"/>
      </right>
      <top style="thin">
        <color theme="8" tint="0.79992065187536243"/>
      </top>
      <bottom/>
      <diagonal/>
    </border>
    <border>
      <left style="thin">
        <color theme="8" tint="0.79989013336588644"/>
      </left>
      <right style="thin">
        <color theme="8" tint="0.79985961485641044"/>
      </right>
      <top style="thin">
        <color theme="8" tint="0.79989013336588644"/>
      </top>
      <bottom/>
      <diagonal/>
    </border>
    <border>
      <left style="thin">
        <color theme="8" tint="0.79985961485641044"/>
      </left>
      <right style="thin">
        <color theme="8" tint="0.79982909634693444"/>
      </right>
      <top/>
      <bottom style="thin">
        <color theme="8" tint="0.79985961485641044"/>
      </bottom>
      <diagonal/>
    </border>
    <border>
      <left style="thin">
        <color theme="8" tint="0.79985961485641044"/>
      </left>
      <right style="thin">
        <color theme="8" tint="0.79982909634693444"/>
      </right>
      <top/>
      <bottom/>
      <diagonal/>
    </border>
    <border>
      <left style="thin">
        <color theme="8" tint="0.79985961485641044"/>
      </left>
      <right style="thin">
        <color theme="8" tint="0.79982909634693444"/>
      </right>
      <top style="thin">
        <color theme="8" tint="0.79998168889431442"/>
      </top>
      <bottom/>
      <diagonal/>
    </border>
    <border>
      <left style="thin">
        <color theme="8" tint="0.79985961485641044"/>
      </left>
      <right style="thin">
        <color theme="8" tint="0.79982909634693444"/>
      </right>
      <top style="thin">
        <color theme="8" tint="0.79995117038483843"/>
      </top>
      <bottom/>
      <diagonal/>
    </border>
    <border>
      <left style="thin">
        <color theme="8" tint="0.79985961485641044"/>
      </left>
      <right style="thin">
        <color theme="8" tint="0.79982909634693444"/>
      </right>
      <top style="thin">
        <color theme="8" tint="0.79992065187536243"/>
      </top>
      <bottom/>
      <diagonal/>
    </border>
    <border>
      <left style="thin">
        <color theme="8" tint="0.79985961485641044"/>
      </left>
      <right style="thin">
        <color theme="8" tint="0.79982909634693444"/>
      </right>
      <top style="thin">
        <color theme="8" tint="0.79989013336588644"/>
      </top>
      <bottom/>
      <diagonal/>
    </border>
    <border>
      <left style="thin">
        <color theme="8" tint="0.79998168889431442"/>
      </left>
      <right style="thin">
        <color theme="8" tint="0.79998168889431442"/>
      </right>
      <top/>
      <bottom/>
      <diagonal/>
    </border>
    <border>
      <left style="thin">
        <color theme="8" tint="0.79998168889431442"/>
      </left>
      <right style="thin">
        <color theme="8" tint="0.79998168889431442"/>
      </right>
      <top style="thin">
        <color theme="8" tint="0.79998168889431442"/>
      </top>
      <bottom/>
      <diagonal/>
    </border>
    <border>
      <left style="thin">
        <color theme="8" tint="0.79998168889431442"/>
      </left>
      <right style="thin">
        <color theme="8" tint="0.79998168889431442"/>
      </right>
      <top/>
      <bottom style="thin">
        <color theme="8" tint="0.79998168889431442"/>
      </bottom>
      <diagonal/>
    </border>
    <border>
      <left style="thin">
        <color rgb="FFB4C6E7"/>
      </left>
      <right/>
      <top style="thin">
        <color rgb="FFB4C6E7"/>
      </top>
      <bottom style="thin">
        <color rgb="FFB4C6E7"/>
      </bottom>
      <diagonal/>
    </border>
    <border>
      <left/>
      <right/>
      <top style="thin">
        <color rgb="FFB4C6E7"/>
      </top>
      <bottom style="thin">
        <color rgb="FFB4C6E7"/>
      </bottom>
      <diagonal/>
    </border>
    <border>
      <left/>
      <right style="thin">
        <color rgb="FFB4C6E7"/>
      </right>
      <top style="thin">
        <color rgb="FFB4C6E7"/>
      </top>
      <bottom style="thin">
        <color rgb="FFB4C6E7"/>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18">
    <xf numFmtId="0" fontId="0" fillId="0" borderId="0" applyFill="0" applyBorder="0" applyProtection="0"/>
    <xf numFmtId="0" fontId="13" fillId="3" borderId="0" applyNumberFormat="0" applyBorder="0" applyAlignment="0" applyProtection="0"/>
    <xf numFmtId="0" fontId="7" fillId="0" borderId="0" applyNumberFormat="0" applyFill="0" applyProtection="0">
      <alignment horizontal="left" indent="3"/>
    </xf>
    <xf numFmtId="0" fontId="4" fillId="4" borderId="1" applyNumberFormat="0" applyAlignment="0" applyProtection="0"/>
    <xf numFmtId="0" fontId="5" fillId="5" borderId="2" applyNumberFormat="0" applyProtection="0">
      <alignment vertical="center"/>
    </xf>
    <xf numFmtId="164" fontId="9" fillId="0" borderId="9" applyFill="0" applyProtection="0">
      <alignment horizontal="left" vertical="center" wrapText="1" indent="1"/>
    </xf>
    <xf numFmtId="164" fontId="12" fillId="0" borderId="6" applyFill="0" applyProtection="0">
      <alignment horizontal="left" vertical="top" wrapText="1" indent="1"/>
    </xf>
    <xf numFmtId="164" fontId="2" fillId="0" borderId="0" applyNumberFormat="0" applyFill="0" applyProtection="0">
      <alignment horizontal="left" vertical="top" wrapText="1" indent="1"/>
    </xf>
    <xf numFmtId="164" fontId="11" fillId="0" borderId="8" applyNumberFormat="0" applyFill="0" applyProtection="0">
      <alignment horizontal="left" vertical="center" wrapText="1" indent="1"/>
    </xf>
    <xf numFmtId="0" fontId="6" fillId="6" borderId="0" applyNumberFormat="0" applyBorder="0" applyProtection="0">
      <alignment horizontal="center"/>
    </xf>
    <xf numFmtId="0" fontId="10" fillId="7" borderId="3" applyNumberFormat="0" applyProtection="0">
      <alignment horizontal="left" vertical="center" indent="1"/>
    </xf>
    <xf numFmtId="0" fontId="10" fillId="6" borderId="3" applyNumberFormat="0" applyProtection="0">
      <alignment horizontal="left" indent="1"/>
    </xf>
    <xf numFmtId="0" fontId="8" fillId="0" borderId="0" applyNumberFormat="0" applyFill="0" applyBorder="0" applyAlignment="0" applyProtection="0"/>
    <xf numFmtId="0" fontId="11" fillId="8" borderId="10" applyNumberFormat="0" applyFont="0" applyAlignment="0" applyProtection="0"/>
    <xf numFmtId="0" fontId="15" fillId="0" borderId="0" applyNumberFormat="0" applyFill="0" applyBorder="0" applyAlignment="0" applyProtection="0"/>
    <xf numFmtId="0" fontId="14" fillId="0" borderId="11" applyNumberFormat="0" applyFill="0" applyAlignment="0" applyProtection="0"/>
    <xf numFmtId="0" fontId="34" fillId="0" borderId="0" applyNumberFormat="0" applyFill="0" applyBorder="0" applyAlignment="0" applyProtection="0"/>
    <xf numFmtId="9" fontId="11" fillId="0" borderId="0" applyFont="0" applyFill="0" applyBorder="0" applyAlignment="0" applyProtection="0"/>
  </cellStyleXfs>
  <cellXfs count="168">
    <xf numFmtId="0" fontId="0" fillId="0" borderId="0" xfId="0"/>
    <xf numFmtId="0" fontId="16" fillId="0" borderId="0" xfId="6" applyNumberFormat="1" applyFont="1" applyFill="1" applyBorder="1">
      <alignment horizontal="left" vertical="top" wrapText="1" indent="1"/>
    </xf>
    <xf numFmtId="0" fontId="16" fillId="0" borderId="0" xfId="7" applyNumberFormat="1" applyFont="1">
      <alignment horizontal="left" vertical="top" wrapText="1" indent="1"/>
    </xf>
    <xf numFmtId="164" fontId="17" fillId="0" borderId="0" xfId="5" applyFont="1" applyFill="1" applyBorder="1" applyAlignment="1">
      <alignment horizontal="left" wrapText="1" indent="1"/>
    </xf>
    <xf numFmtId="0" fontId="19" fillId="0" borderId="0" xfId="0" applyFont="1"/>
    <xf numFmtId="0" fontId="19" fillId="2" borderId="0" xfId="0" applyFont="1" applyFill="1"/>
    <xf numFmtId="0" fontId="20" fillId="0" borderId="0" xfId="0" applyFont="1"/>
    <xf numFmtId="0" fontId="19" fillId="0" borderId="0" xfId="0" applyFont="1" applyAlignment="1">
      <alignment horizontal="left" indent="1"/>
    </xf>
    <xf numFmtId="0" fontId="18" fillId="0" borderId="0" xfId="0" applyFont="1"/>
    <xf numFmtId="0" fontId="17" fillId="0" borderId="0" xfId="0" applyFont="1" applyAlignment="1">
      <alignment horizontal="left" indent="1"/>
    </xf>
    <xf numFmtId="0" fontId="19" fillId="0" borderId="0" xfId="0" applyFont="1" applyBorder="1"/>
    <xf numFmtId="164" fontId="17" fillId="0" borderId="9" xfId="5" applyFont="1" applyFill="1" applyAlignment="1">
      <alignment horizontal="left" wrapText="1" indent="1"/>
    </xf>
    <xf numFmtId="164" fontId="17" fillId="0" borderId="12" xfId="5" applyFont="1" applyFill="1" applyBorder="1" applyAlignment="1">
      <alignment horizontal="left" wrapText="1" indent="1"/>
    </xf>
    <xf numFmtId="164" fontId="17" fillId="0" borderId="14" xfId="5" applyFont="1" applyFill="1" applyBorder="1" applyAlignment="1">
      <alignment horizontal="left" wrapText="1" indent="1"/>
    </xf>
    <xf numFmtId="164" fontId="17" fillId="0" borderId="31" xfId="5" applyFont="1" applyFill="1" applyBorder="1" applyAlignment="1">
      <alignment horizontal="left" wrapText="1" indent="1"/>
    </xf>
    <xf numFmtId="164" fontId="17" fillId="0" borderId="32" xfId="5" applyFont="1" applyFill="1" applyBorder="1" applyAlignment="1">
      <alignment horizontal="left" wrapText="1" indent="1"/>
    </xf>
    <xf numFmtId="164" fontId="17" fillId="0" borderId="33" xfId="5" applyFont="1" applyFill="1" applyBorder="1" applyAlignment="1">
      <alignment horizontal="left" wrapText="1" indent="1"/>
    </xf>
    <xf numFmtId="164" fontId="17" fillId="0" borderId="36" xfId="5" applyFont="1" applyFill="1" applyBorder="1" applyAlignment="1">
      <alignment horizontal="left" wrapText="1" indent="1"/>
    </xf>
    <xf numFmtId="164" fontId="17" fillId="0" borderId="37" xfId="5" applyFont="1" applyFill="1" applyBorder="1" applyAlignment="1">
      <alignment horizontal="left" wrapText="1" indent="1"/>
    </xf>
    <xf numFmtId="164" fontId="17" fillId="0" borderId="38" xfId="5" applyFont="1" applyFill="1" applyBorder="1" applyAlignment="1">
      <alignment horizontal="left" wrapText="1" indent="1"/>
    </xf>
    <xf numFmtId="164" fontId="17" fillId="0" borderId="42" xfId="5" applyFont="1" applyFill="1" applyBorder="1" applyAlignment="1">
      <alignment horizontal="left" wrapText="1" indent="1"/>
    </xf>
    <xf numFmtId="164" fontId="17" fillId="0" borderId="43" xfId="5" applyFont="1" applyFill="1" applyBorder="1" applyAlignment="1">
      <alignment horizontal="left" wrapText="1" indent="1"/>
    </xf>
    <xf numFmtId="164" fontId="17" fillId="0" borderId="44" xfId="5" applyFont="1" applyFill="1" applyBorder="1" applyAlignment="1">
      <alignment horizontal="left" wrapText="1" indent="1"/>
    </xf>
    <xf numFmtId="164" fontId="17" fillId="0" borderId="47" xfId="5" applyFont="1" applyFill="1" applyBorder="1" applyAlignment="1">
      <alignment horizontal="left" wrapText="1" indent="1"/>
    </xf>
    <xf numFmtId="164" fontId="17" fillId="0" borderId="48" xfId="5" applyFont="1" applyFill="1" applyBorder="1" applyAlignment="1">
      <alignment horizontal="left" wrapText="1" indent="1"/>
    </xf>
    <xf numFmtId="164" fontId="17" fillId="0" borderId="49" xfId="5" applyFont="1" applyFill="1" applyBorder="1" applyAlignment="1">
      <alignment horizontal="left" wrapText="1" indent="1"/>
    </xf>
    <xf numFmtId="164" fontId="17" fillId="0" borderId="53" xfId="5" applyFont="1" applyFill="1" applyBorder="1" applyAlignment="1">
      <alignment horizontal="left" wrapText="1" indent="1"/>
    </xf>
    <xf numFmtId="164" fontId="17" fillId="0" borderId="54" xfId="5" applyFont="1" applyFill="1" applyBorder="1" applyAlignment="1">
      <alignment horizontal="left" wrapText="1" indent="1"/>
    </xf>
    <xf numFmtId="164" fontId="17" fillId="0" borderId="55" xfId="5" applyFont="1" applyFill="1" applyBorder="1" applyAlignment="1">
      <alignment horizontal="left" wrapText="1" indent="1"/>
    </xf>
    <xf numFmtId="164" fontId="17" fillId="0" borderId="58" xfId="5" applyFont="1" applyFill="1" applyBorder="1" applyAlignment="1">
      <alignment horizontal="left" wrapText="1" indent="1"/>
    </xf>
    <xf numFmtId="164" fontId="17" fillId="0" borderId="59" xfId="5" applyFont="1" applyFill="1" applyBorder="1" applyAlignment="1">
      <alignment horizontal="left" wrapText="1" indent="1"/>
    </xf>
    <xf numFmtId="164" fontId="17" fillId="9" borderId="0" xfId="5" applyFont="1" applyFill="1" applyBorder="1" applyAlignment="1">
      <alignment horizontal="left" wrapText="1" indent="1"/>
    </xf>
    <xf numFmtId="164" fontId="17" fillId="9" borderId="14" xfId="5" applyFont="1" applyFill="1" applyBorder="1" applyAlignment="1">
      <alignment horizontal="left" wrapText="1" indent="1"/>
    </xf>
    <xf numFmtId="164" fontId="17" fillId="9" borderId="12" xfId="5" applyFont="1" applyFill="1" applyBorder="1" applyAlignment="1">
      <alignment horizontal="left" wrapText="1" indent="1"/>
    </xf>
    <xf numFmtId="164" fontId="17" fillId="9" borderId="9" xfId="5" applyFont="1" applyFill="1" applyAlignment="1">
      <alignment horizontal="left" wrapText="1" indent="1"/>
    </xf>
    <xf numFmtId="164" fontId="17" fillId="9" borderId="5" xfId="5" applyFont="1" applyFill="1" applyBorder="1" applyAlignment="1">
      <alignment horizontal="left" wrapText="1" indent="1"/>
    </xf>
    <xf numFmtId="164" fontId="17" fillId="9" borderId="4" xfId="5" applyFont="1" applyFill="1" applyBorder="1" applyAlignment="1">
      <alignment horizontal="left" wrapText="1" indent="1"/>
    </xf>
    <xf numFmtId="14" fontId="0" fillId="0" borderId="0" xfId="0" applyNumberFormat="1"/>
    <xf numFmtId="0" fontId="24" fillId="0" borderId="64" xfId="0" applyFont="1" applyBorder="1"/>
    <xf numFmtId="0" fontId="24" fillId="0" borderId="66" xfId="0" applyFont="1" applyBorder="1"/>
    <xf numFmtId="0" fontId="24" fillId="0" borderId="65" xfId="0" applyFont="1" applyBorder="1"/>
    <xf numFmtId="14" fontId="17" fillId="0" borderId="0" xfId="0" applyNumberFormat="1" applyFont="1" applyAlignment="1">
      <alignment horizontal="left" indent="1"/>
    </xf>
    <xf numFmtId="2" fontId="0" fillId="0" borderId="0" xfId="0" applyNumberFormat="1"/>
    <xf numFmtId="164" fontId="17" fillId="10" borderId="59" xfId="5" applyFont="1" applyFill="1" applyBorder="1" applyAlignment="1">
      <alignment horizontal="left" wrapText="1" indent="1"/>
    </xf>
    <xf numFmtId="0" fontId="22" fillId="11" borderId="62" xfId="2" applyFont="1" applyFill="1" applyBorder="1" applyAlignment="1"/>
    <xf numFmtId="0" fontId="19" fillId="11" borderId="62" xfId="0" applyFont="1" applyFill="1" applyBorder="1"/>
    <xf numFmtId="0" fontId="19" fillId="11" borderId="63" xfId="0" applyFont="1" applyFill="1" applyBorder="1"/>
    <xf numFmtId="0" fontId="26" fillId="11" borderId="61" xfId="9" applyFont="1" applyFill="1" applyBorder="1">
      <alignment horizontal="center"/>
    </xf>
    <xf numFmtId="0" fontId="26" fillId="11" borderId="62" xfId="2" applyFont="1" applyFill="1" applyBorder="1" applyAlignment="1">
      <alignment horizontal="left"/>
    </xf>
    <xf numFmtId="0" fontId="27" fillId="11" borderId="61" xfId="9" applyFont="1" applyFill="1" applyBorder="1" applyAlignment="1">
      <alignment horizontal="center" vertical="center"/>
    </xf>
    <xf numFmtId="0" fontId="27" fillId="12" borderId="61" xfId="9" applyFont="1" applyFill="1" applyBorder="1" applyAlignment="1">
      <alignment horizontal="center" vertical="center"/>
    </xf>
    <xf numFmtId="164" fontId="17" fillId="9" borderId="16" xfId="5" applyFont="1" applyFill="1" applyBorder="1" applyAlignment="1">
      <alignment horizontal="left" wrapText="1" indent="1"/>
    </xf>
    <xf numFmtId="164" fontId="17" fillId="9" borderId="22" xfId="5" applyFont="1" applyFill="1" applyBorder="1" applyAlignment="1">
      <alignment horizontal="left" wrapText="1" indent="1"/>
    </xf>
    <xf numFmtId="164" fontId="17" fillId="9" borderId="23" xfId="5" applyFont="1" applyFill="1" applyBorder="1" applyAlignment="1">
      <alignment horizontal="left" wrapText="1" indent="1"/>
    </xf>
    <xf numFmtId="164" fontId="17" fillId="9" borderId="25" xfId="5" applyFont="1" applyFill="1" applyBorder="1" applyAlignment="1">
      <alignment horizontal="left" wrapText="1" indent="1"/>
    </xf>
    <xf numFmtId="0" fontId="18" fillId="9" borderId="13" xfId="6" applyNumberFormat="1" applyFont="1" applyFill="1" applyBorder="1" applyAlignment="1">
      <alignment horizontal="left" vertical="center" wrapText="1" indent="1"/>
    </xf>
    <xf numFmtId="0" fontId="18" fillId="9" borderId="24" xfId="6" applyNumberFormat="1" applyFont="1" applyFill="1" applyBorder="1" applyAlignment="1">
      <alignment horizontal="left" vertical="center" wrapText="1" indent="1"/>
    </xf>
    <xf numFmtId="0" fontId="18" fillId="9" borderId="15" xfId="6" applyNumberFormat="1" applyFont="1" applyFill="1" applyBorder="1" applyAlignment="1">
      <alignment horizontal="left" vertical="center" wrapText="1" indent="1"/>
    </xf>
    <xf numFmtId="0" fontId="18" fillId="9" borderId="26" xfId="6" applyNumberFormat="1" applyFont="1" applyFill="1" applyBorder="1" applyAlignment="1">
      <alignment horizontal="left" vertical="center" wrapText="1" indent="1"/>
    </xf>
    <xf numFmtId="0" fontId="18" fillId="9" borderId="17" xfId="6" applyNumberFormat="1" applyFont="1" applyFill="1" applyBorder="1" applyAlignment="1">
      <alignment horizontal="left" vertical="center" wrapText="1" indent="1"/>
    </xf>
    <xf numFmtId="164" fontId="17" fillId="9" borderId="27" xfId="5" applyFont="1" applyFill="1" applyBorder="1">
      <alignment horizontal="left" vertical="center" wrapText="1" indent="1"/>
    </xf>
    <xf numFmtId="164" fontId="17" fillId="0" borderId="34" xfId="5" applyFont="1" applyFill="1" applyBorder="1">
      <alignment horizontal="left" vertical="center" wrapText="1" indent="1"/>
    </xf>
    <xf numFmtId="164" fontId="17" fillId="0" borderId="39" xfId="5" applyFont="1" applyFill="1" applyBorder="1">
      <alignment horizontal="left" vertical="center" wrapText="1" indent="1"/>
    </xf>
    <xf numFmtId="164" fontId="17" fillId="0" borderId="45" xfId="5" applyFont="1" applyFill="1" applyBorder="1">
      <alignment horizontal="left" vertical="center" wrapText="1" indent="1"/>
    </xf>
    <xf numFmtId="164" fontId="17" fillId="0" borderId="50" xfId="5" applyFont="1" applyFill="1" applyBorder="1">
      <alignment horizontal="left" vertical="center" wrapText="1" indent="1"/>
    </xf>
    <xf numFmtId="164" fontId="17" fillId="0" borderId="56" xfId="5" applyFont="1" applyFill="1" applyBorder="1">
      <alignment horizontal="left" vertical="center" wrapText="1" indent="1"/>
    </xf>
    <xf numFmtId="164" fontId="17" fillId="9" borderId="18" xfId="5" applyFont="1" applyFill="1" applyBorder="1">
      <alignment horizontal="left" vertical="center" wrapText="1" indent="1"/>
    </xf>
    <xf numFmtId="0" fontId="18" fillId="9" borderId="28" xfId="6" applyNumberFormat="1" applyFont="1" applyFill="1" applyBorder="1" applyAlignment="1">
      <alignment horizontal="left" vertical="center" wrapText="1" indent="1"/>
    </xf>
    <xf numFmtId="0" fontId="18" fillId="9" borderId="19" xfId="6" applyNumberFormat="1" applyFont="1" applyFill="1" applyBorder="1" applyAlignment="1">
      <alignment horizontal="left" vertical="center" wrapText="1" indent="1"/>
    </xf>
    <xf numFmtId="164" fontId="17" fillId="9" borderId="29" xfId="5" applyFont="1" applyFill="1" applyBorder="1">
      <alignment horizontal="left" vertical="center" wrapText="1" indent="1"/>
    </xf>
    <xf numFmtId="164" fontId="17" fillId="0" borderId="35" xfId="5" applyFont="1" applyFill="1" applyBorder="1">
      <alignment horizontal="left" vertical="center" wrapText="1" indent="1"/>
    </xf>
    <xf numFmtId="164" fontId="17" fillId="0" borderId="40" xfId="5" applyFont="1" applyFill="1" applyBorder="1">
      <alignment horizontal="left" vertical="center" wrapText="1" indent="1"/>
    </xf>
    <xf numFmtId="164" fontId="17" fillId="0" borderId="46" xfId="5" applyFont="1" applyFill="1" applyBorder="1">
      <alignment horizontal="left" vertical="center" wrapText="1" indent="1"/>
    </xf>
    <xf numFmtId="164" fontId="17" fillId="0" borderId="51" xfId="5" applyFont="1" applyFill="1" applyBorder="1">
      <alignment horizontal="left" vertical="center" wrapText="1" indent="1"/>
    </xf>
    <xf numFmtId="164" fontId="17" fillId="0" borderId="57" xfId="5" applyFont="1" applyFill="1" applyBorder="1">
      <alignment horizontal="left" vertical="center" wrapText="1" indent="1"/>
    </xf>
    <xf numFmtId="164" fontId="17" fillId="9" borderId="20" xfId="5" applyFont="1" applyFill="1" applyBorder="1">
      <alignment horizontal="left" vertical="center" wrapText="1" indent="1"/>
    </xf>
    <xf numFmtId="0" fontId="18" fillId="9" borderId="30" xfId="6" applyNumberFormat="1" applyFont="1" applyFill="1" applyBorder="1" applyAlignment="1">
      <alignment horizontal="left" vertical="center" wrapText="1" indent="1"/>
    </xf>
    <xf numFmtId="0" fontId="18" fillId="9" borderId="21" xfId="6" applyNumberFormat="1" applyFont="1" applyFill="1" applyBorder="1" applyAlignment="1">
      <alignment horizontal="left" vertical="center" wrapText="1" indent="1"/>
    </xf>
    <xf numFmtId="164" fontId="17" fillId="9" borderId="22" xfId="5" applyFont="1" applyFill="1" applyBorder="1">
      <alignment horizontal="left" vertical="center" wrapText="1" indent="1"/>
    </xf>
    <xf numFmtId="164" fontId="17" fillId="0" borderId="31" xfId="5" applyFont="1" applyFill="1" applyBorder="1">
      <alignment horizontal="left" vertical="center" wrapText="1" indent="1"/>
    </xf>
    <xf numFmtId="0" fontId="18" fillId="9" borderId="22" xfId="6" applyNumberFormat="1" applyFont="1" applyFill="1" applyBorder="1" applyAlignment="1">
      <alignment horizontal="left" vertical="center" wrapText="1" indent="1"/>
    </xf>
    <xf numFmtId="0" fontId="18" fillId="9" borderId="0" xfId="6" applyNumberFormat="1" applyFont="1" applyFill="1" applyBorder="1" applyAlignment="1">
      <alignment horizontal="left" vertical="center" wrapText="1" indent="1"/>
    </xf>
    <xf numFmtId="0" fontId="18" fillId="0" borderId="0" xfId="6" applyNumberFormat="1" applyFont="1" applyFill="1" applyBorder="1" applyAlignment="1">
      <alignment horizontal="left" vertical="center" wrapText="1" indent="1"/>
    </xf>
    <xf numFmtId="0" fontId="18" fillId="9" borderId="6" xfId="6" applyNumberFormat="1" applyFont="1" applyFill="1" applyAlignment="1">
      <alignment horizontal="left" vertical="center" wrapText="1" indent="1"/>
    </xf>
    <xf numFmtId="0" fontId="18" fillId="9" borderId="5" xfId="6" applyNumberFormat="1" applyFont="1" applyFill="1" applyBorder="1" applyAlignment="1">
      <alignment horizontal="left" vertical="center" wrapText="1" indent="1"/>
    </xf>
    <xf numFmtId="0" fontId="18" fillId="9" borderId="7" xfId="6" applyNumberFormat="1" applyFont="1" applyFill="1" applyBorder="1" applyAlignment="1">
      <alignment horizontal="left" vertical="center" wrapText="1" indent="1"/>
    </xf>
    <xf numFmtId="0" fontId="18" fillId="0" borderId="13" xfId="6" applyNumberFormat="1" applyFont="1" applyFill="1" applyBorder="1" applyAlignment="1">
      <alignment horizontal="left" vertical="center" wrapText="1" indent="1"/>
    </xf>
    <xf numFmtId="0" fontId="19" fillId="0" borderId="67" xfId="0" applyFont="1" applyBorder="1"/>
    <xf numFmtId="0" fontId="19" fillId="0" borderId="69" xfId="0" applyFont="1" applyBorder="1"/>
    <xf numFmtId="0" fontId="24" fillId="0" borderId="0" xfId="0" applyFont="1" applyFill="1" applyBorder="1"/>
    <xf numFmtId="165" fontId="0" fillId="0" borderId="64" xfId="0" applyNumberFormat="1" applyBorder="1" applyAlignment="1">
      <alignment vertical="top" wrapText="1"/>
    </xf>
    <xf numFmtId="165" fontId="0" fillId="0" borderId="65" xfId="0" applyNumberFormat="1" applyBorder="1"/>
    <xf numFmtId="165" fontId="0" fillId="0" borderId="66" xfId="0" applyNumberFormat="1" applyBorder="1"/>
    <xf numFmtId="0" fontId="24" fillId="0" borderId="0" xfId="0" applyFont="1"/>
    <xf numFmtId="0" fontId="24" fillId="0" borderId="64" xfId="0" applyFont="1" applyBorder="1" applyAlignment="1">
      <alignment horizontal="right" vertical="top" wrapText="1"/>
    </xf>
    <xf numFmtId="2" fontId="19" fillId="0" borderId="68" xfId="0" applyNumberFormat="1" applyFont="1" applyBorder="1" applyProtection="1">
      <protection locked="0"/>
    </xf>
    <xf numFmtId="2" fontId="19" fillId="0" borderId="70" xfId="0" applyNumberFormat="1" applyFont="1" applyBorder="1" applyProtection="1">
      <protection locked="0"/>
    </xf>
    <xf numFmtId="0" fontId="18" fillId="0" borderId="41" xfId="6" applyNumberFormat="1" applyFont="1" applyFill="1" applyBorder="1" applyAlignment="1" applyProtection="1">
      <alignment horizontal="left" vertical="center" wrapText="1" indent="1"/>
      <protection locked="0"/>
    </xf>
    <xf numFmtId="0" fontId="18" fillId="0" borderId="52" xfId="6" applyNumberFormat="1" applyFont="1" applyFill="1" applyBorder="1" applyAlignment="1" applyProtection="1">
      <alignment horizontal="left" vertical="center" wrapText="1" indent="1"/>
      <protection locked="0"/>
    </xf>
    <xf numFmtId="0" fontId="18" fillId="0" borderId="58" xfId="6" applyNumberFormat="1" applyFont="1" applyFill="1" applyBorder="1" applyAlignment="1" applyProtection="1">
      <alignment horizontal="left" vertical="center" wrapText="1" indent="1"/>
      <protection locked="0"/>
    </xf>
    <xf numFmtId="0" fontId="18" fillId="0" borderId="60" xfId="6" applyNumberFormat="1" applyFont="1" applyFill="1" applyBorder="1" applyAlignment="1" applyProtection="1">
      <alignment horizontal="left" vertical="center" wrapText="1" indent="1"/>
      <protection locked="0"/>
    </xf>
    <xf numFmtId="0" fontId="18" fillId="9" borderId="0" xfId="6" applyNumberFormat="1" applyFont="1" applyFill="1" applyBorder="1" applyAlignment="1" applyProtection="1">
      <alignment horizontal="left" vertical="center" wrapText="1" indent="1"/>
      <protection locked="0"/>
    </xf>
    <xf numFmtId="0" fontId="0" fillId="0" borderId="0" xfId="0" applyProtection="1">
      <protection locked="0"/>
    </xf>
    <xf numFmtId="0" fontId="0" fillId="0" borderId="0" xfId="0" applyProtection="1"/>
    <xf numFmtId="0" fontId="25" fillId="0" borderId="0" xfId="0" applyFont="1" applyProtection="1"/>
    <xf numFmtId="2" fontId="0" fillId="0" borderId="0" xfId="0" applyNumberFormat="1" applyProtection="1"/>
    <xf numFmtId="166" fontId="0" fillId="0" borderId="0" xfId="0" applyNumberFormat="1" applyProtection="1"/>
    <xf numFmtId="0" fontId="0" fillId="0" borderId="69" xfId="0" applyBorder="1"/>
    <xf numFmtId="0" fontId="0" fillId="0" borderId="0" xfId="0" applyBorder="1"/>
    <xf numFmtId="0" fontId="0" fillId="0" borderId="70" xfId="0" applyBorder="1"/>
    <xf numFmtId="0" fontId="0" fillId="0" borderId="71" xfId="0" applyBorder="1"/>
    <xf numFmtId="0" fontId="0" fillId="0" borderId="73" xfId="0" applyBorder="1"/>
    <xf numFmtId="0" fontId="0" fillId="0" borderId="72" xfId="0" applyBorder="1"/>
    <xf numFmtId="0" fontId="0" fillId="0" borderId="67" xfId="0" applyBorder="1"/>
    <xf numFmtId="0" fontId="0" fillId="0" borderId="74" xfId="0" applyBorder="1"/>
    <xf numFmtId="0" fontId="0" fillId="0" borderId="68" xfId="0" applyBorder="1"/>
    <xf numFmtId="0" fontId="0" fillId="0" borderId="0" xfId="0" applyAlignment="1">
      <alignment wrapText="1"/>
    </xf>
    <xf numFmtId="0" fontId="30" fillId="0" borderId="0" xfId="0" applyFont="1"/>
    <xf numFmtId="0" fontId="19" fillId="0" borderId="71" xfId="0" applyFont="1" applyBorder="1"/>
    <xf numFmtId="0" fontId="28" fillId="11" borderId="0" xfId="0" applyFont="1" applyFill="1" applyAlignment="1" applyProtection="1">
      <alignment vertical="top"/>
    </xf>
    <xf numFmtId="0" fontId="28" fillId="11" borderId="0" xfId="0" applyFont="1" applyFill="1" applyAlignment="1" applyProtection="1">
      <alignment vertical="top" wrapText="1"/>
    </xf>
    <xf numFmtId="0" fontId="31" fillId="0" borderId="0" xfId="0" applyFont="1"/>
    <xf numFmtId="0" fontId="24" fillId="0" borderId="64" xfId="0" applyFont="1" applyBorder="1" applyAlignment="1">
      <alignment horizontal="centerContinuous"/>
    </xf>
    <xf numFmtId="165" fontId="0" fillId="0" borderId="75" xfId="0" applyNumberFormat="1" applyBorder="1" applyAlignment="1">
      <alignment vertical="top" wrapText="1"/>
    </xf>
    <xf numFmtId="0" fontId="24" fillId="0" borderId="76" xfId="0" applyFont="1" applyBorder="1" applyAlignment="1">
      <alignment horizontal="right" vertical="top" wrapText="1"/>
    </xf>
    <xf numFmtId="165" fontId="0" fillId="0" borderId="64" xfId="0" applyNumberFormat="1" applyBorder="1"/>
    <xf numFmtId="2" fontId="19" fillId="0" borderId="70" xfId="0" applyNumberFormat="1" applyFont="1" applyBorder="1" applyAlignment="1" applyProtection="1">
      <alignment wrapText="1"/>
      <protection locked="0"/>
    </xf>
    <xf numFmtId="0" fontId="19" fillId="0" borderId="69" xfId="0" applyFont="1" applyBorder="1" applyAlignment="1">
      <alignment vertical="top"/>
    </xf>
    <xf numFmtId="0" fontId="19" fillId="10" borderId="69" xfId="0" applyFont="1" applyFill="1" applyBorder="1"/>
    <xf numFmtId="0" fontId="19" fillId="10" borderId="68" xfId="0" applyFont="1" applyFill="1" applyBorder="1" applyProtection="1">
      <protection locked="0"/>
    </xf>
    <xf numFmtId="0" fontId="0" fillId="10" borderId="70" xfId="0" applyFill="1" applyBorder="1" applyAlignment="1" applyProtection="1">
      <alignment horizontal="right"/>
      <protection locked="0"/>
    </xf>
    <xf numFmtId="0" fontId="19" fillId="10" borderId="70" xfId="0" applyFont="1" applyFill="1" applyBorder="1" applyAlignment="1" applyProtection="1">
      <alignment horizontal="right"/>
      <protection locked="0"/>
    </xf>
    <xf numFmtId="0" fontId="29" fillId="10" borderId="69" xfId="0" applyFont="1" applyFill="1" applyBorder="1"/>
    <xf numFmtId="165" fontId="0" fillId="0" borderId="0" xfId="0" applyNumberFormat="1" applyBorder="1"/>
    <xf numFmtId="165" fontId="0" fillId="0" borderId="0" xfId="0" applyNumberFormat="1"/>
    <xf numFmtId="167" fontId="0" fillId="0" borderId="0" xfId="0" applyNumberFormat="1" applyProtection="1">
      <protection locked="0"/>
    </xf>
    <xf numFmtId="0" fontId="19" fillId="0" borderId="70" xfId="0" applyFont="1" applyBorder="1" applyProtection="1">
      <protection locked="0"/>
    </xf>
    <xf numFmtId="0" fontId="1" fillId="0" borderId="0" xfId="0" applyFont="1"/>
    <xf numFmtId="168" fontId="19" fillId="10" borderId="70" xfId="0" applyNumberFormat="1" applyFont="1" applyFill="1" applyBorder="1" applyProtection="1">
      <protection locked="0"/>
    </xf>
    <xf numFmtId="168" fontId="0" fillId="10" borderId="70" xfId="0" applyNumberFormat="1" applyFill="1" applyBorder="1" applyProtection="1">
      <protection locked="0"/>
    </xf>
    <xf numFmtId="0" fontId="29" fillId="0" borderId="0" xfId="0" applyFont="1" applyFill="1"/>
    <xf numFmtId="0" fontId="29" fillId="0" borderId="0" xfId="0" applyFont="1"/>
    <xf numFmtId="165" fontId="29" fillId="0" borderId="0" xfId="0" applyNumberFormat="1" applyFont="1" applyFill="1"/>
    <xf numFmtId="0" fontId="35" fillId="0" borderId="0" xfId="0" applyFont="1" applyProtection="1"/>
    <xf numFmtId="0" fontId="0" fillId="0" borderId="0" xfId="0" applyAlignment="1">
      <alignment horizontal="right"/>
    </xf>
    <xf numFmtId="168" fontId="0" fillId="0" borderId="0" xfId="0" applyNumberFormat="1" applyProtection="1">
      <protection locked="0"/>
    </xf>
    <xf numFmtId="0" fontId="38" fillId="0" borderId="0" xfId="16" applyFont="1"/>
    <xf numFmtId="0" fontId="24" fillId="0" borderId="0" xfId="0" applyFont="1" applyAlignment="1">
      <alignment horizontal="right"/>
    </xf>
    <xf numFmtId="10" fontId="0" fillId="0" borderId="0" xfId="17" applyNumberFormat="1" applyFont="1"/>
    <xf numFmtId="0" fontId="19" fillId="10" borderId="67" xfId="0" applyFont="1" applyFill="1" applyBorder="1"/>
    <xf numFmtId="0" fontId="0" fillId="0" borderId="72" xfId="0" applyBorder="1" applyProtection="1">
      <protection locked="0"/>
    </xf>
    <xf numFmtId="0" fontId="39" fillId="13" borderId="0" xfId="0" applyFont="1" applyFill="1"/>
    <xf numFmtId="0" fontId="18" fillId="13" borderId="0" xfId="0" applyFont="1" applyFill="1"/>
    <xf numFmtId="0" fontId="32" fillId="0" borderId="0" xfId="0" applyFont="1" applyAlignment="1">
      <alignment horizontal="center" vertical="top"/>
    </xf>
    <xf numFmtId="0" fontId="37" fillId="0" borderId="0" xfId="0" applyFont="1" applyAlignment="1">
      <alignment vertical="center" wrapText="1"/>
    </xf>
    <xf numFmtId="0" fontId="34" fillId="0" borderId="0" xfId="16"/>
    <xf numFmtId="0" fontId="26" fillId="11" borderId="62" xfId="2" applyFont="1" applyFill="1" applyBorder="1" applyAlignment="1">
      <alignment horizontal="left"/>
    </xf>
    <xf numFmtId="164" fontId="21" fillId="0" borderId="0" xfId="8" applyFont="1" applyBorder="1" applyAlignment="1">
      <alignment horizontal="left" wrapText="1" indent="1"/>
    </xf>
    <xf numFmtId="164" fontId="21" fillId="0" borderId="5" xfId="8" applyFont="1" applyBorder="1" applyAlignment="1">
      <alignment horizontal="left" wrapText="1" indent="1"/>
    </xf>
    <xf numFmtId="0" fontId="18" fillId="0" borderId="0" xfId="7" applyNumberFormat="1" applyFont="1" applyProtection="1">
      <alignment horizontal="left" vertical="top" wrapText="1" indent="1"/>
      <protection locked="0"/>
    </xf>
    <xf numFmtId="164" fontId="17" fillId="0" borderId="0" xfId="8" applyFont="1" applyBorder="1" applyAlignment="1">
      <alignment horizontal="left" wrapText="1" indent="1"/>
    </xf>
    <xf numFmtId="164" fontId="17" fillId="0" borderId="5" xfId="8" applyFont="1" applyBorder="1" applyAlignment="1">
      <alignment horizontal="left" wrapText="1" indent="1"/>
    </xf>
    <xf numFmtId="0" fontId="19" fillId="0" borderId="0" xfId="0" applyFont="1" applyAlignment="1">
      <alignment horizontal="left" wrapText="1"/>
    </xf>
    <xf numFmtId="0" fontId="33" fillId="0" borderId="0" xfId="0" applyFont="1" applyAlignment="1">
      <alignment wrapText="1"/>
    </xf>
    <xf numFmtId="164" fontId="21" fillId="0" borderId="8" xfId="8" applyFont="1" applyAlignment="1">
      <alignment horizontal="left" wrapText="1" indent="1"/>
    </xf>
    <xf numFmtId="0" fontId="21" fillId="0" borderId="0" xfId="8" applyNumberFormat="1" applyFont="1" applyBorder="1" applyAlignment="1">
      <alignment horizontal="left" wrapText="1" indent="1"/>
    </xf>
    <xf numFmtId="0" fontId="21" fillId="0" borderId="5" xfId="8" applyNumberFormat="1" applyFont="1" applyBorder="1" applyAlignment="1">
      <alignment horizontal="left" wrapText="1" indent="1"/>
    </xf>
    <xf numFmtId="0" fontId="36" fillId="0" borderId="0" xfId="0" applyFont="1" applyProtection="1"/>
  </cellXfs>
  <cellStyles count="18">
    <cellStyle name="40% - Accent1" xfId="1" builtinId="31" customBuiltin="1"/>
    <cellStyle name="Accent1" xfId="3" builtinId="29" customBuiltin="1"/>
    <cellStyle name="Accent5" xfId="4" builtinId="45" customBuiltin="1"/>
    <cellStyle name="Day" xfId="5" xr:uid="{00000000-0005-0000-0000-000003000000}"/>
    <cellStyle name="Day Detail" xfId="6" xr:uid="{00000000-0005-0000-0000-000004000000}"/>
    <cellStyle name="Explanatory Text" xfId="14" builtinId="53" customBuiltin="1"/>
    <cellStyle name="Heading 1" xfId="2" builtinId="16" customBuiltin="1"/>
    <cellStyle name="Heading 2" xfId="10" builtinId="17" customBuiltin="1"/>
    <cellStyle name="Heading 3" xfId="11" builtinId="18" customBuiltin="1"/>
    <cellStyle name="Heading 4" xfId="12" builtinId="19" customBuiltin="1"/>
    <cellStyle name="Hyperlink" xfId="16" builtinId="8"/>
    <cellStyle name="Normal" xfId="0" builtinId="0" customBuiltin="1"/>
    <cellStyle name="Note" xfId="13" builtinId="10" customBuiltin="1"/>
    <cellStyle name="Notes" xfId="7" xr:uid="{00000000-0005-0000-0000-00000C000000}"/>
    <cellStyle name="Notes Header" xfId="8" xr:uid="{00000000-0005-0000-0000-00000D000000}"/>
    <cellStyle name="Percent" xfId="17" builtinId="5"/>
    <cellStyle name="Title" xfId="9" builtinId="15" customBuiltin="1"/>
    <cellStyle name="Total" xfId="15" builtinId="25" customBuiltin="1"/>
  </cellStyles>
  <dxfs count="758">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0" tint="-0.34998626667073579"/>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2" tint="-0.2499465926084170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ill>
        <patternFill>
          <bgColor theme="9" tint="0.59996337778862885"/>
        </patternFill>
      </fill>
    </dxf>
    <dxf>
      <fill>
        <patternFill>
          <bgColor theme="5" tint="-0.24994659260841701"/>
        </patternFill>
      </fill>
    </dxf>
    <dxf>
      <fill>
        <patternFill>
          <bgColor theme="7" tint="-0.24994659260841701"/>
        </patternFill>
      </fill>
    </dxf>
    <dxf>
      <fill>
        <patternFill>
          <bgColor rgb="FFFF9999"/>
        </patternFill>
      </fill>
    </dxf>
    <dxf>
      <font>
        <color theme="2" tint="-0.499984740745262"/>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ill>
        <patternFill>
          <bgColor theme="1" tint="4.9989318521683403E-2"/>
        </patternFill>
      </fill>
    </dxf>
    <dxf>
      <fill>
        <patternFill>
          <bgColor rgb="FFFF0000"/>
        </patternFill>
      </fill>
    </dxf>
    <dxf>
      <font>
        <color theme="0"/>
      </font>
      <fill>
        <patternFill>
          <bgColor theme="9" tint="-0.24994659260841701"/>
        </patternFill>
      </fill>
    </dxf>
    <dxf>
      <font>
        <color theme="0"/>
      </font>
      <fill>
        <patternFill>
          <bgColor rgb="FFFF0000"/>
        </patternFill>
      </fill>
    </dxf>
    <dxf>
      <numFmt numFmtId="169" formatCode=";;;"/>
    </dxf>
    <dxf>
      <fill>
        <patternFill>
          <bgColor rgb="FFFF0000"/>
        </patternFill>
      </fill>
    </dxf>
    <dxf>
      <fill>
        <patternFill>
          <bgColor rgb="FFFF0000"/>
        </patternFill>
      </fill>
    </dxf>
    <dxf>
      <numFmt numFmtId="169" formatCode=";;;"/>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dxf>
    <dxf>
      <fill>
        <patternFill>
          <bgColor theme="9" tint="-0.24994659260841701"/>
        </patternFill>
      </fill>
    </dxf>
    <dxf>
      <numFmt numFmtId="169" formatCode=";;;"/>
    </dxf>
    <dxf>
      <numFmt numFmtId="169" formatCode=";;;"/>
    </dxf>
    <dxf>
      <font>
        <color theme="1"/>
      </font>
    </dxf>
    <dxf>
      <font>
        <color theme="1"/>
      </font>
    </dxf>
    <dxf>
      <font>
        <b/>
        <i val="0"/>
        <strike val="0"/>
        <condense val="0"/>
        <extend val="0"/>
        <outline val="0"/>
        <shadow val="0"/>
        <u val="none"/>
        <vertAlign val="baseline"/>
        <sz val="11"/>
        <color auto="1"/>
        <name val="Trebuchet MS"/>
        <family val="2"/>
        <scheme val="minor"/>
      </font>
    </dxf>
    <dxf>
      <font>
        <b/>
        <i val="0"/>
        <strike val="0"/>
        <condense val="0"/>
        <extend val="0"/>
        <outline val="0"/>
        <shadow val="0"/>
        <u val="none"/>
        <vertAlign val="baseline"/>
        <sz val="11"/>
        <color auto="1"/>
        <name val="Trebuchet MS"/>
        <family val="2"/>
        <scheme val="minor"/>
      </font>
    </dxf>
    <dxf>
      <numFmt numFmtId="19" formatCode="yyyy/mm/dd"/>
    </dxf>
    <dxf>
      <numFmt numFmtId="19" formatCode="yyyy/mm/dd"/>
    </dxf>
    <dxf>
      <numFmt numFmtId="0" formatCode="General"/>
    </dxf>
    <dxf>
      <numFmt numFmtId="2" formatCode="0.00"/>
    </dxf>
    <dxf>
      <numFmt numFmtId="0" formatCode="General"/>
    </dxf>
    <dxf>
      <numFmt numFmtId="0" formatCode="General"/>
    </dxf>
    <dxf>
      <numFmt numFmtId="0" formatCode="General"/>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strike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dxf>
    <dxf>
      <numFmt numFmtId="0" formatCode="General"/>
    </dxf>
    <dxf>
      <numFmt numFmtId="25" formatCode="hh:mm"/>
    </dxf>
    <dxf>
      <protection locked="0" hidden="0"/>
    </dxf>
    <dxf>
      <protection locked="0" hidden="0"/>
    </dxf>
    <dxf>
      <protection locked="0" hidden="0"/>
    </dxf>
    <dxf>
      <numFmt numFmtId="167" formatCode="[$-F400]h:mm:ss\ AM/PM"/>
      <protection locked="0" hidden="0"/>
    </dxf>
    <dxf>
      <numFmt numFmtId="167" formatCode="[$-F400]h:mm:ss\ AM/PM"/>
      <protection locked="0" hidden="0"/>
    </dxf>
    <dxf>
      <numFmt numFmtId="168" formatCode="yyyy\-mm\-dd;@"/>
      <protection locked="0" hidden="0"/>
    </dxf>
    <dxf>
      <numFmt numFmtId="0" formatCode="Genera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b val="0"/>
        <i val="0"/>
        <strike val="0"/>
        <condense val="0"/>
        <extend val="0"/>
        <outline val="0"/>
        <shadow val="0"/>
        <u val="none"/>
        <vertAlign val="baseline"/>
        <sz val="11"/>
        <color theme="0"/>
        <name val="Trebuchet MS"/>
        <family val="2"/>
        <scheme val="minor"/>
      </font>
      <fill>
        <patternFill patternType="none">
          <fgColor indexed="64"/>
          <bgColor indexed="65"/>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numFmt numFmtId="0" formatCode="General"/>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FF9999"/>
      <color rgb="FFEACD4D"/>
      <color rgb="FF003FA2"/>
      <color rgb="FF0058E6"/>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676275</xdr:colOff>
      <xdr:row>6</xdr:row>
      <xdr:rowOff>13334</xdr:rowOff>
    </xdr:from>
    <xdr:to>
      <xdr:col>22</xdr:col>
      <xdr:colOff>504825</xdr:colOff>
      <xdr:row>57</xdr:row>
      <xdr:rowOff>19050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820150" y="1394459"/>
          <a:ext cx="12487275" cy="10711816"/>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mn-lt"/>
              <a:ea typeface="+mn-ea"/>
              <a:cs typeface="+mn-cs"/>
            </a:rPr>
            <a:t>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Getting Started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Begin in the box to the left and enter your name (optional) and then select your school board and school from the dropdown lists (optional). Next, select the number of terms or semesters in your school’s calendar and enter the first instructional day for each term. Now, enter the first and last operational day for the school year.  Does your calendar have any early dismissals? If so, answer ‘Yes’ and then select the number of timetable variants each term for the early dismissals.  Does your calendar use “extra days” that are different from the normal timetable? If so, answer “Yes” and then select the number of extra day variants each term.  Finally, select your timetable type. The types of timetables supported are</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Weekday rotation: the timetable is based around weekdays and restarts every Monday</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2-Day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3-Day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4-Day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5-Day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6-Day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10-Day</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rotation</a:t>
          </a: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Enter dates in the following format: YYYY-MM-DD, for example August 29, 2023 would be entered as 2023-08-29. Depending on settings in Excel on your computer, you may be able to  enter dates as Month Day, Year (August 29, 2023). When the message above changes to "Ready" in a green background, you are ready to move on. If the message says "Missing Information" on a red background, then you are missing a key piece of information in the table to the left.</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Calendar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each month, enter days that are exceptions to the usual instructional programming (operational (no students), closed (non-operational), early dismissal, or "extra days"). To do so, click into that date and then click the down arrow for a drop-down menu. Select the type of non-instructional day. If there is a stretch of contiguous days that are non-instructional, such as winter break, you can click the bottom right of the first cell and drag to the right to fill the rest of the days. You don’t need to enter instructional days – those are inferred from the exceptions.  If you need to erase a</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calendar entry, simply select the cell and hit "delete" on your keyboard.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Timetable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Now set up your timetable for each day in your timetable rotation. If you are on a weekday rotation, you will need to fill out all five weekdays. If you are on a 3-day rotation, you only need to fill out days 1, 2, and 3. A 4-day rotation requires filling out days 1 to 4, and so on. You will need to do this for each term. Scroll down to</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see the timetables for 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When entering start and end times, be sure to enter them as times (such as 8:15). Also, times need to be entered using a 24 hour clock so that 1:30 PM is entered as 13:30. The elapsed times shown are in minutes.</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similar time tables from one term to the next, you can copy and paste from another timetable.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your calendar has early dismissal days, you will need to set up a timetable for those days. If all early dismissal days follow the same timetable, then you only need to fill out one timetable for early dismissals. However, if there are multiple early dismissal timetables, you will need to create a timetable for each one.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Meetings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meetings that occur as a regular part of your timetable, then schedule them in your timetables. However, if you have regularly scheduled meetings, such as the second Monday of each month, you have a staff meeting at 4:00, then enter it in the Exceptions tab.</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Exceptions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Invariably things will come up during the year. You will end up covering a class for someone or doing additional supervision here and there, emergent meetings, etc. Enter these in the Exceptions tab. Enter the date, the start and end times and the type of activity.</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Interpreting Your Results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After you have filled in your timetable and set up the calendar, the results appear in the "Detailed Summary" tab. This lists the total of instructional time, non-instructional assigned time, and total assigned time for the year.</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Next Steps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xdr:txBody>
    </xdr:sp>
    <xdr:clientData/>
  </xdr:twoCellAnchor>
  <xdr:twoCellAnchor editAs="oneCell">
    <xdr:from>
      <xdr:col>0</xdr:col>
      <xdr:colOff>0</xdr:colOff>
      <xdr:row>0</xdr:row>
      <xdr:rowOff>0</xdr:rowOff>
    </xdr:from>
    <xdr:to>
      <xdr:col>1</xdr:col>
      <xdr:colOff>4017645</xdr:colOff>
      <xdr:row>4</xdr:row>
      <xdr:rowOff>95250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5143500" cy="1028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304800</xdr:colOff>
      <xdr:row>0</xdr:row>
      <xdr:rowOff>104775</xdr:rowOff>
    </xdr:from>
    <xdr:to>
      <xdr:col>19</xdr:col>
      <xdr:colOff>285750</xdr:colOff>
      <xdr:row>16</xdr:row>
      <xdr:rowOff>152400</xdr:rowOff>
    </xdr:to>
    <xdr:sp macro="" textlink="">
      <xdr:nvSpPr>
        <xdr:cNvPr id="2" name="TextBox 1">
          <a:extLst>
            <a:ext uri="{FF2B5EF4-FFF2-40B4-BE49-F238E27FC236}">
              <a16:creationId xmlns:a16="http://schemas.microsoft.com/office/drawing/2014/main" id="{FFD3EE1B-BFBD-013F-9016-70CFAE66FDFC}"/>
            </a:ext>
          </a:extLst>
        </xdr:cNvPr>
        <xdr:cNvSpPr txBox="1"/>
      </xdr:nvSpPr>
      <xdr:spPr>
        <a:xfrm>
          <a:off x="304800" y="104775"/>
          <a:ext cx="15278100" cy="340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This is the sheet that does all the "heavy lifting" for the calculations. The first table below (D20:F464) simply transposes each set of rows in the calendar</a:t>
          </a:r>
          <a:r>
            <a:rPr lang="en-CA" sz="1100" baseline="0"/>
            <a:t> tables into a pair of one dimensional arrays (one for the date and one for the activity). The column called "Valid" determines if the date is a valid date for calcuations. The criteria are:</a:t>
          </a:r>
        </a:p>
        <a:p>
          <a:r>
            <a:rPr lang="en-CA" sz="1100" baseline="0"/>
            <a:t>- Between the first and last operational day</a:t>
          </a:r>
        </a:p>
        <a:p>
          <a:r>
            <a:rPr lang="en-CA" sz="1100" baseline="0"/>
            <a:t>- In the reference month. That is, only entries from the August calendar that are in August count.</a:t>
          </a:r>
        </a:p>
        <a:p>
          <a:r>
            <a:rPr lang="en-CA" sz="1100" baseline="0"/>
            <a:t>- Not listed as "Closed (non-operational)</a:t>
          </a:r>
        </a:p>
        <a:p>
          <a:endParaRPr lang="en-CA" sz="1100" baseline="0"/>
        </a:p>
        <a:p>
          <a:r>
            <a:rPr lang="en-CA" sz="1100" baseline="0"/>
            <a:t>The value in the "Valid" column is then used as a criteria in the filter function in cell J21. The second table, beginning on J20, only contains operational days (instructional, operational (no students), early dismissal.</a:t>
          </a:r>
          <a:endParaRPr lang="en-CA"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190501</xdr:colOff>
      <xdr:row>22</xdr:row>
      <xdr:rowOff>26670</xdr:rowOff>
    </xdr:from>
    <xdr:to>
      <xdr:col>19</xdr:col>
      <xdr:colOff>276226</xdr:colOff>
      <xdr:row>28</xdr:row>
      <xdr:rowOff>66675</xdr:rowOff>
    </xdr:to>
    <xdr:sp macro="" textlink="">
      <xdr:nvSpPr>
        <xdr:cNvPr id="2" name="TextBox 1">
          <a:extLst>
            <a:ext uri="{FF2B5EF4-FFF2-40B4-BE49-F238E27FC236}">
              <a16:creationId xmlns:a16="http://schemas.microsoft.com/office/drawing/2014/main" id="{600511D5-697E-710A-1EFC-95EFDF701A89}"/>
            </a:ext>
          </a:extLst>
        </xdr:cNvPr>
        <xdr:cNvSpPr txBox="1"/>
      </xdr:nvSpPr>
      <xdr:spPr>
        <a:xfrm>
          <a:off x="13763626" y="4008120"/>
          <a:ext cx="2524125"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dynamic lists in this</a:t>
          </a:r>
          <a:r>
            <a:rPr lang="en-CA" sz="1100" baseline="0"/>
            <a:t> box are used to actually populate dropdown lists on the calendar page as well as the timetables pages.</a:t>
          </a:r>
          <a:endParaRPr lang="en-CA" sz="1100"/>
        </a:p>
      </xdr:txBody>
    </xdr:sp>
    <xdr:clientData/>
  </xdr:twoCellAnchor>
  <xdr:twoCellAnchor>
    <xdr:from>
      <xdr:col>0</xdr:col>
      <xdr:colOff>666750</xdr:colOff>
      <xdr:row>36</xdr:row>
      <xdr:rowOff>0</xdr:rowOff>
    </xdr:from>
    <xdr:to>
      <xdr:col>3</xdr:col>
      <xdr:colOff>228600</xdr:colOff>
      <xdr:row>54</xdr:row>
      <xdr:rowOff>142875</xdr:rowOff>
    </xdr:to>
    <xdr:sp macro="" textlink="">
      <xdr:nvSpPr>
        <xdr:cNvPr id="3" name="TextBox 2">
          <a:extLst>
            <a:ext uri="{FF2B5EF4-FFF2-40B4-BE49-F238E27FC236}">
              <a16:creationId xmlns:a16="http://schemas.microsoft.com/office/drawing/2014/main" id="{44561490-DA64-098F-6CA9-018FC7900379}"/>
            </a:ext>
          </a:extLst>
        </xdr:cNvPr>
        <xdr:cNvSpPr txBox="1"/>
      </xdr:nvSpPr>
      <xdr:spPr>
        <a:xfrm>
          <a:off x="666750" y="6305550"/>
          <a:ext cx="231457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a:t>
          </a:r>
          <a:r>
            <a:rPr lang="en-CA" sz="1100" baseline="0"/>
            <a:t> table above lists the types of possible days to use in the calendar. When the user selects whether or not there are early dismissals or extra days and the number of timetables for each, the second column in the table is set to either 1 or 0. For example, if they select early dismissal = yes and 2 timetable variants, there will be a 1 beside Early Dismissal 1 and Early Dismissal 2 but a 0 beside Early Dismissal 3.</a:t>
          </a:r>
        </a:p>
        <a:p>
          <a:endParaRPr lang="en-CA" sz="1100" baseline="0"/>
        </a:p>
        <a:p>
          <a:r>
            <a:rPr lang="en-CA" sz="1100" baseline="0"/>
            <a:t>That is then used with the filter function inside of the unique function to generate the list immediately above. That list is used to feed the dropdown list for setting day types in the calendar setup.</a:t>
          </a:r>
          <a:endParaRPr lang="en-CA" sz="1100"/>
        </a:p>
      </xdr:txBody>
    </xdr:sp>
    <xdr:clientData/>
  </xdr:twoCellAnchor>
  <xdr:twoCellAnchor>
    <xdr:from>
      <xdr:col>5</xdr:col>
      <xdr:colOff>0</xdr:colOff>
      <xdr:row>36</xdr:row>
      <xdr:rowOff>0</xdr:rowOff>
    </xdr:from>
    <xdr:to>
      <xdr:col>7</xdr:col>
      <xdr:colOff>247650</xdr:colOff>
      <xdr:row>54</xdr:row>
      <xdr:rowOff>142875</xdr:rowOff>
    </xdr:to>
    <xdr:sp macro="" textlink="">
      <xdr:nvSpPr>
        <xdr:cNvPr id="4" name="TextBox 3">
          <a:extLst>
            <a:ext uri="{FF2B5EF4-FFF2-40B4-BE49-F238E27FC236}">
              <a16:creationId xmlns:a16="http://schemas.microsoft.com/office/drawing/2014/main" id="{E272EA31-8D1C-4704-A2C4-9674C29FAC86}"/>
            </a:ext>
          </a:extLst>
        </xdr:cNvPr>
        <xdr:cNvSpPr txBox="1"/>
      </xdr:nvSpPr>
      <xdr:spPr>
        <a:xfrm>
          <a:off x="4819650"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various activities that can be assigned to times in the timetable setup. To add new activities, simply add the activity name to the bottom of the table, then assign a classification number to it. 0 means "unassigned", 1 is "instruction" and 2 is "non-instruction assigned time".</a:t>
          </a:r>
        </a:p>
        <a:p>
          <a:endParaRPr lang="en-CA" sz="1100" baseline="0"/>
        </a:p>
        <a:p>
          <a:r>
            <a:rPr lang="en-CA" sz="1100" baseline="0"/>
            <a:t>The list immediately above is generated from the table above using the UNIQUE() function.</a:t>
          </a:r>
        </a:p>
      </xdr:txBody>
    </xdr:sp>
    <xdr:clientData/>
  </xdr:twoCellAnchor>
  <xdr:twoCellAnchor>
    <xdr:from>
      <xdr:col>13</xdr:col>
      <xdr:colOff>24765</xdr:colOff>
      <xdr:row>23</xdr:row>
      <xdr:rowOff>171450</xdr:rowOff>
    </xdr:from>
    <xdr:to>
      <xdr:col>15</xdr:col>
      <xdr:colOff>177165</xdr:colOff>
      <xdr:row>26</xdr:row>
      <xdr:rowOff>76200</xdr:rowOff>
    </xdr:to>
    <xdr:cxnSp macro="">
      <xdr:nvCxnSpPr>
        <xdr:cNvPr id="6" name="Straight Arrow Connector 5">
          <a:extLst>
            <a:ext uri="{FF2B5EF4-FFF2-40B4-BE49-F238E27FC236}">
              <a16:creationId xmlns:a16="http://schemas.microsoft.com/office/drawing/2014/main" id="{F2EEFA14-7F62-156B-5AAF-73954F12C61C}"/>
            </a:ext>
          </a:extLst>
        </xdr:cNvPr>
        <xdr:cNvCxnSpPr/>
      </xdr:nvCxnSpPr>
      <xdr:spPr>
        <a:xfrm flipH="1">
          <a:off x="12378690" y="4343400"/>
          <a:ext cx="1371600" cy="447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36</xdr:row>
      <xdr:rowOff>0</xdr:rowOff>
    </xdr:from>
    <xdr:to>
      <xdr:col>10</xdr:col>
      <xdr:colOff>542925</xdr:colOff>
      <xdr:row>54</xdr:row>
      <xdr:rowOff>142875</xdr:rowOff>
    </xdr:to>
    <xdr:sp macro="" textlink="">
      <xdr:nvSpPr>
        <xdr:cNvPr id="7" name="TextBox 6">
          <a:extLst>
            <a:ext uri="{FF2B5EF4-FFF2-40B4-BE49-F238E27FC236}">
              <a16:creationId xmlns:a16="http://schemas.microsoft.com/office/drawing/2014/main" id="{D8F529A7-42ED-4AD7-9B95-5ACED255DC3D}"/>
            </a:ext>
          </a:extLst>
        </xdr:cNvPr>
        <xdr:cNvSpPr txBox="1"/>
      </xdr:nvSpPr>
      <xdr:spPr>
        <a:xfrm>
          <a:off x="8658225"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possible types of timetable rotations. If it necessary to add a rotation type, add its name to the table above and it will automatically appear in the dropdown list on the first page of this spreadsheet file. </a:t>
          </a:r>
        </a:p>
        <a:p>
          <a:endParaRPr lang="en-CA" sz="1100" baseline="0"/>
        </a:p>
        <a:p>
          <a:r>
            <a:rPr lang="en-CA" sz="1100" baseline="0"/>
            <a:t>You will then need to add tables to the timetable setup page. For example, if a seven-day rotation was added, you would need to add a table for "Day 7" by copying and pasting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9524</xdr:colOff>
      <xdr:row>0</xdr:row>
      <xdr:rowOff>114299</xdr:rowOff>
    </xdr:from>
    <xdr:to>
      <xdr:col>1</xdr:col>
      <xdr:colOff>4334636</xdr:colOff>
      <xdr:row>1</xdr:row>
      <xdr:rowOff>1216151</xdr:rowOff>
    </xdr:to>
    <xdr:pic>
      <xdr:nvPicPr>
        <xdr:cNvPr id="2" name="Picture_1" descr="Photo of a girl wirting" title="Banner 1">
          <a:extLst>
            <a:ext uri="{FF2B5EF4-FFF2-40B4-BE49-F238E27FC236}">
              <a16:creationId xmlns:a16="http://schemas.microsoft.com/office/drawing/2014/main" id="{00000000-0008-0000-06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33349" y="114299"/>
          <a:ext cx="4325112" cy="1216152"/>
        </a:xfrm>
        <a:prstGeom prst="rect">
          <a:avLst/>
        </a:prstGeom>
      </xdr:spPr>
    </xdr:pic>
    <xdr:clientData/>
  </xdr:twoCellAnchor>
  <xdr:twoCellAnchor editAs="oneCell">
    <xdr:from>
      <xdr:col>1</xdr:col>
      <xdr:colOff>9524</xdr:colOff>
      <xdr:row>1</xdr:row>
      <xdr:rowOff>1304924</xdr:rowOff>
    </xdr:from>
    <xdr:to>
      <xdr:col>1</xdr:col>
      <xdr:colOff>4334636</xdr:colOff>
      <xdr:row>2</xdr:row>
      <xdr:rowOff>1216151</xdr:rowOff>
    </xdr:to>
    <xdr:pic>
      <xdr:nvPicPr>
        <xdr:cNvPr id="3" name="Picture_2" descr="Photo of students discussing" title="Banner 2">
          <a:extLst>
            <a:ext uri="{FF2B5EF4-FFF2-40B4-BE49-F238E27FC236}">
              <a16:creationId xmlns:a16="http://schemas.microsoft.com/office/drawing/2014/main" id="{00000000-0008-0000-0600-000003000000}"/>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102"/>
        <a:stretch/>
      </xdr:blipFill>
      <xdr:spPr>
        <a:xfrm>
          <a:off x="133349" y="1419224"/>
          <a:ext cx="4325112" cy="1216152"/>
        </a:xfrm>
        <a:prstGeom prst="rect">
          <a:avLst/>
        </a:prstGeom>
      </xdr:spPr>
    </xdr:pic>
    <xdr:clientData/>
  </xdr:twoCellAnchor>
  <xdr:twoCellAnchor editAs="oneCell">
    <xdr:from>
      <xdr:col>1</xdr:col>
      <xdr:colOff>9524</xdr:colOff>
      <xdr:row>2</xdr:row>
      <xdr:rowOff>1304924</xdr:rowOff>
    </xdr:from>
    <xdr:to>
      <xdr:col>1</xdr:col>
      <xdr:colOff>4334636</xdr:colOff>
      <xdr:row>3</xdr:row>
      <xdr:rowOff>1216151</xdr:rowOff>
    </xdr:to>
    <xdr:pic>
      <xdr:nvPicPr>
        <xdr:cNvPr id="4" name="Picture_3" descr="Photo of a guy crossing street" title="Banner 3">
          <a:extLst>
            <a:ext uri="{FF2B5EF4-FFF2-40B4-BE49-F238E27FC236}">
              <a16:creationId xmlns:a16="http://schemas.microsoft.com/office/drawing/2014/main" id="{00000000-0008-0000-06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33349" y="2724149"/>
          <a:ext cx="4325112" cy="1216152"/>
        </a:xfrm>
        <a:prstGeom prst="rect">
          <a:avLst/>
        </a:prstGeom>
      </xdr:spPr>
    </xdr:pic>
    <xdr:clientData/>
  </xdr:twoCellAnchor>
  <xdr:twoCellAnchor editAs="oneCell">
    <xdr:from>
      <xdr:col>1</xdr:col>
      <xdr:colOff>9524</xdr:colOff>
      <xdr:row>3</xdr:row>
      <xdr:rowOff>1304924</xdr:rowOff>
    </xdr:from>
    <xdr:to>
      <xdr:col>1</xdr:col>
      <xdr:colOff>4334636</xdr:colOff>
      <xdr:row>4</xdr:row>
      <xdr:rowOff>1216151</xdr:rowOff>
    </xdr:to>
    <xdr:pic>
      <xdr:nvPicPr>
        <xdr:cNvPr id="5" name="Picture_4" descr="Photo of students raising their hands" title="Banner 4">
          <a:extLst>
            <a:ext uri="{FF2B5EF4-FFF2-40B4-BE49-F238E27FC236}">
              <a16:creationId xmlns:a16="http://schemas.microsoft.com/office/drawing/2014/main" id="{00000000-0008-0000-06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33349" y="4029074"/>
          <a:ext cx="4325112" cy="1216152"/>
        </a:xfrm>
        <a:prstGeom prst="rect">
          <a:avLst/>
        </a:prstGeom>
      </xdr:spPr>
    </xdr:pic>
    <xdr:clientData/>
  </xdr:twoCellAnchor>
  <xdr:twoCellAnchor editAs="oneCell">
    <xdr:from>
      <xdr:col>1</xdr:col>
      <xdr:colOff>9524</xdr:colOff>
      <xdr:row>4</xdr:row>
      <xdr:rowOff>1304924</xdr:rowOff>
    </xdr:from>
    <xdr:to>
      <xdr:col>1</xdr:col>
      <xdr:colOff>4334636</xdr:colOff>
      <xdr:row>5</xdr:row>
      <xdr:rowOff>1216151</xdr:rowOff>
    </xdr:to>
    <xdr:pic>
      <xdr:nvPicPr>
        <xdr:cNvPr id="6" name="Picture_5" descr="Photo of student in lecture" title="Banner 5">
          <a:extLst>
            <a:ext uri="{FF2B5EF4-FFF2-40B4-BE49-F238E27FC236}">
              <a16:creationId xmlns:a16="http://schemas.microsoft.com/office/drawing/2014/main" id="{00000000-0008-0000-06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3349" y="5333999"/>
          <a:ext cx="4325112" cy="1216152"/>
        </a:xfrm>
        <a:prstGeom prst="rect">
          <a:avLst/>
        </a:prstGeom>
      </xdr:spPr>
    </xdr:pic>
    <xdr:clientData/>
  </xdr:twoCellAnchor>
  <xdr:twoCellAnchor editAs="oneCell">
    <xdr:from>
      <xdr:col>1</xdr:col>
      <xdr:colOff>9524</xdr:colOff>
      <xdr:row>5</xdr:row>
      <xdr:rowOff>1304924</xdr:rowOff>
    </xdr:from>
    <xdr:to>
      <xdr:col>1</xdr:col>
      <xdr:colOff>4334636</xdr:colOff>
      <xdr:row>6</xdr:row>
      <xdr:rowOff>1216151</xdr:rowOff>
    </xdr:to>
    <xdr:pic>
      <xdr:nvPicPr>
        <xdr:cNvPr id="7" name="Picture_6" descr="Photo of graduation" title="Banner 6">
          <a:extLst>
            <a:ext uri="{FF2B5EF4-FFF2-40B4-BE49-F238E27FC236}">
              <a16:creationId xmlns:a16="http://schemas.microsoft.com/office/drawing/2014/main" id="{00000000-0008-0000-06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33349" y="6638924"/>
          <a:ext cx="4325112" cy="1216152"/>
        </a:xfrm>
        <a:prstGeom prst="rect">
          <a:avLst/>
        </a:prstGeom>
      </xdr:spPr>
    </xdr:pic>
    <xdr:clientData/>
  </xdr:twoCellAnchor>
  <xdr:twoCellAnchor editAs="oneCell">
    <xdr:from>
      <xdr:col>1</xdr:col>
      <xdr:colOff>9524</xdr:colOff>
      <xdr:row>6</xdr:row>
      <xdr:rowOff>1304924</xdr:rowOff>
    </xdr:from>
    <xdr:to>
      <xdr:col>1</xdr:col>
      <xdr:colOff>4334636</xdr:colOff>
      <xdr:row>7</xdr:row>
      <xdr:rowOff>1216151</xdr:rowOff>
    </xdr:to>
    <xdr:pic>
      <xdr:nvPicPr>
        <xdr:cNvPr id="8" name="Picture_7" descr="Photo of students playing" title="Banner 7">
          <a:extLst>
            <a:ext uri="{FF2B5EF4-FFF2-40B4-BE49-F238E27FC236}">
              <a16:creationId xmlns:a16="http://schemas.microsoft.com/office/drawing/2014/main" id="{00000000-0008-0000-06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33349" y="7943849"/>
          <a:ext cx="4325112" cy="1216152"/>
        </a:xfrm>
        <a:prstGeom prst="rect">
          <a:avLst/>
        </a:prstGeom>
      </xdr:spPr>
    </xdr:pic>
    <xdr:clientData/>
  </xdr:twoCellAnchor>
  <xdr:twoCellAnchor editAs="oneCell">
    <xdr:from>
      <xdr:col>1</xdr:col>
      <xdr:colOff>9524</xdr:colOff>
      <xdr:row>7</xdr:row>
      <xdr:rowOff>1304924</xdr:rowOff>
    </xdr:from>
    <xdr:to>
      <xdr:col>1</xdr:col>
      <xdr:colOff>4334636</xdr:colOff>
      <xdr:row>8</xdr:row>
      <xdr:rowOff>1216151</xdr:rowOff>
    </xdr:to>
    <xdr:pic>
      <xdr:nvPicPr>
        <xdr:cNvPr id="9" name="Picture_8" descr="Photo of a girl using her notebook" title="Banner 8">
          <a:extLst>
            <a:ext uri="{FF2B5EF4-FFF2-40B4-BE49-F238E27FC236}">
              <a16:creationId xmlns:a16="http://schemas.microsoft.com/office/drawing/2014/main" id="{00000000-0008-0000-06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33349" y="9248774"/>
          <a:ext cx="4325112" cy="1216152"/>
        </a:xfrm>
        <a:prstGeom prst="rect">
          <a:avLst/>
        </a:prstGeom>
      </xdr:spPr>
    </xdr:pic>
    <xdr:clientData/>
  </xdr:twoCellAnchor>
  <xdr:twoCellAnchor editAs="oneCell">
    <xdr:from>
      <xdr:col>1</xdr:col>
      <xdr:colOff>9524</xdr:colOff>
      <xdr:row>8</xdr:row>
      <xdr:rowOff>1304924</xdr:rowOff>
    </xdr:from>
    <xdr:to>
      <xdr:col>1</xdr:col>
      <xdr:colOff>4334636</xdr:colOff>
      <xdr:row>9</xdr:row>
      <xdr:rowOff>1216151</xdr:rowOff>
    </xdr:to>
    <xdr:pic>
      <xdr:nvPicPr>
        <xdr:cNvPr id="10" name="Picture_9" descr="Photo of a football team" title="Banner 9">
          <a:extLst>
            <a:ext uri="{FF2B5EF4-FFF2-40B4-BE49-F238E27FC236}">
              <a16:creationId xmlns:a16="http://schemas.microsoft.com/office/drawing/2014/main" id="{00000000-0008-0000-06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33349" y="10553699"/>
          <a:ext cx="4325112" cy="1216152"/>
        </a:xfrm>
        <a:prstGeom prst="rect">
          <a:avLst/>
        </a:prstGeom>
      </xdr:spPr>
    </xdr:pic>
    <xdr:clientData/>
  </xdr:twoCellAnchor>
  <xdr:twoCellAnchor editAs="oneCell">
    <xdr:from>
      <xdr:col>1</xdr:col>
      <xdr:colOff>9524</xdr:colOff>
      <xdr:row>9</xdr:row>
      <xdr:rowOff>1304924</xdr:rowOff>
    </xdr:from>
    <xdr:to>
      <xdr:col>1</xdr:col>
      <xdr:colOff>4334636</xdr:colOff>
      <xdr:row>10</xdr:row>
      <xdr:rowOff>1216151</xdr:rowOff>
    </xdr:to>
    <xdr:pic>
      <xdr:nvPicPr>
        <xdr:cNvPr id="11" name="Picture_10" descr="Photo of basketball huddle" title="Banner 10">
          <a:extLst>
            <a:ext uri="{FF2B5EF4-FFF2-40B4-BE49-F238E27FC236}">
              <a16:creationId xmlns:a16="http://schemas.microsoft.com/office/drawing/2014/main" id="{00000000-0008-0000-06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33349" y="11858624"/>
          <a:ext cx="4325112" cy="1216152"/>
        </a:xfrm>
        <a:prstGeom prst="rect">
          <a:avLst/>
        </a:prstGeom>
      </xdr:spPr>
    </xdr:pic>
    <xdr:clientData/>
  </xdr:twoCellAnchor>
  <xdr:twoCellAnchor editAs="oneCell">
    <xdr:from>
      <xdr:col>1</xdr:col>
      <xdr:colOff>9524</xdr:colOff>
      <xdr:row>10</xdr:row>
      <xdr:rowOff>1304924</xdr:rowOff>
    </xdr:from>
    <xdr:to>
      <xdr:col>1</xdr:col>
      <xdr:colOff>4334636</xdr:colOff>
      <xdr:row>11</xdr:row>
      <xdr:rowOff>1216151</xdr:rowOff>
    </xdr:to>
    <xdr:pic>
      <xdr:nvPicPr>
        <xdr:cNvPr id="12" name="Picture_11" descr="Photo of students in a lab" title="Banner 11">
          <a:extLst>
            <a:ext uri="{FF2B5EF4-FFF2-40B4-BE49-F238E27FC236}">
              <a16:creationId xmlns:a16="http://schemas.microsoft.com/office/drawing/2014/main" id="{00000000-0008-0000-06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33349" y="13163549"/>
          <a:ext cx="4325112" cy="1216152"/>
        </a:xfrm>
        <a:prstGeom prst="rect">
          <a:avLst/>
        </a:prstGeom>
      </xdr:spPr>
    </xdr:pic>
    <xdr:clientData/>
  </xdr:twoCellAnchor>
  <xdr:twoCellAnchor editAs="oneCell">
    <xdr:from>
      <xdr:col>1</xdr:col>
      <xdr:colOff>9524</xdr:colOff>
      <xdr:row>11</xdr:row>
      <xdr:rowOff>1304924</xdr:rowOff>
    </xdr:from>
    <xdr:to>
      <xdr:col>1</xdr:col>
      <xdr:colOff>4334636</xdr:colOff>
      <xdr:row>12</xdr:row>
      <xdr:rowOff>1216151</xdr:rowOff>
    </xdr:to>
    <xdr:pic>
      <xdr:nvPicPr>
        <xdr:cNvPr id="13" name="Picture_12" descr="Photo of a girl carrying gifts" title="Banner 12">
          <a:extLst>
            <a:ext uri="{FF2B5EF4-FFF2-40B4-BE49-F238E27FC236}">
              <a16:creationId xmlns:a16="http://schemas.microsoft.com/office/drawing/2014/main" id="{00000000-0008-0000-06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33349" y="14468474"/>
          <a:ext cx="4325112" cy="1216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668655</xdr:colOff>
      <xdr:row>7</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52425" y="361950"/>
          <a:ext cx="4716780" cy="904875"/>
        </a:xfrm>
        <a:prstGeom prst="rect">
          <a:avLst/>
        </a:prstGeom>
      </xdr:spPr>
    </xdr:pic>
    <xdr:clientData/>
  </xdr:twoCellAnchor>
  <xdr:twoCellAnchor>
    <xdr:from>
      <xdr:col>1</xdr:col>
      <xdr:colOff>38100</xdr:colOff>
      <xdr:row>30</xdr:row>
      <xdr:rowOff>190501</xdr:rowOff>
    </xdr:from>
    <xdr:to>
      <xdr:col>9</xdr:col>
      <xdr:colOff>1247775</xdr:colOff>
      <xdr:row>34</xdr:row>
      <xdr:rowOff>47625</xdr:rowOff>
    </xdr:to>
    <xdr:sp macro="" textlink="">
      <xdr:nvSpPr>
        <xdr:cNvPr id="2" name="TextBox 1">
          <a:extLst>
            <a:ext uri="{FF2B5EF4-FFF2-40B4-BE49-F238E27FC236}">
              <a16:creationId xmlns:a16="http://schemas.microsoft.com/office/drawing/2014/main" id="{EC9C704F-045F-25B3-257A-89A9C9C66789}"/>
            </a:ext>
          </a:extLst>
        </xdr:cNvPr>
        <xdr:cNvSpPr txBox="1"/>
      </xdr:nvSpPr>
      <xdr:spPr>
        <a:xfrm>
          <a:off x="428625" y="6772276"/>
          <a:ext cx="13106400" cy="695324"/>
        </a:xfrm>
        <a:prstGeom prst="rect">
          <a:avLst/>
        </a:prstGeom>
        <a:solidFill>
          <a:srgbClr val="EACD4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CA" sz="1100" b="0">
              <a:solidFill>
                <a:schemeClr val="dk1"/>
              </a:solidFill>
              <a:effectLst/>
              <a:latin typeface="Times New Roman" panose="02020603050405020304" pitchFamily="18" charset="0"/>
              <a:ea typeface="+mn-ea"/>
              <a:cs typeface="Times New Roman" panose="02020603050405020304" pitchFamily="18" charset="0"/>
            </a:rPr>
            <a:t>If you</a:t>
          </a:r>
          <a:r>
            <a:rPr lang="en-CA" sz="1100" b="0" baseline="0">
              <a:solidFill>
                <a:schemeClr val="dk1"/>
              </a:solidFill>
              <a:effectLst/>
              <a:latin typeface="Times New Roman" panose="02020603050405020304" pitchFamily="18" charset="0"/>
              <a:ea typeface="+mn-ea"/>
              <a:cs typeface="Times New Roman" panose="02020603050405020304" pitchFamily="18" charset="0"/>
            </a:rPr>
            <a:t>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endParaRPr lang="en-CA">
            <a:effectLst/>
            <a:latin typeface="Times New Roman" panose="02020603050405020304" pitchFamily="18" charset="0"/>
            <a:cs typeface="Times New Roman" panose="02020603050405020304" pitchFamily="18" charset="0"/>
          </a:endParaRPr>
        </a:p>
        <a:p>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15239</xdr:colOff>
      <xdr:row>2</xdr:row>
      <xdr:rowOff>24765</xdr:rowOff>
    </xdr:from>
    <xdr:to>
      <xdr:col>16</xdr:col>
      <xdr:colOff>528239</xdr:colOff>
      <xdr:row>26</xdr:row>
      <xdr:rowOff>38100</xdr:rowOff>
    </xdr:to>
    <xdr:sp macro="" textlink="">
      <xdr:nvSpPr>
        <xdr:cNvPr id="2" name="TextBox 1">
          <a:extLst>
            <a:ext uri="{FF2B5EF4-FFF2-40B4-BE49-F238E27FC236}">
              <a16:creationId xmlns:a16="http://schemas.microsoft.com/office/drawing/2014/main" id="{3E74CBC9-115A-54B9-1D58-6EF32DEF6FEC}"/>
            </a:ext>
          </a:extLst>
        </xdr:cNvPr>
        <xdr:cNvSpPr txBox="1"/>
      </xdr:nvSpPr>
      <xdr:spPr>
        <a:xfrm>
          <a:off x="624839" y="596265"/>
          <a:ext cx="9657000" cy="40366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Times New Roman" panose="02020603050405020304" pitchFamily="18" charset="0"/>
              <a:ea typeface="+mn-ea"/>
              <a:cs typeface="Times New Roman" panose="02020603050405020304" pitchFamily="18" charset="0"/>
            </a:rPr>
            <a:t>Collective Agreement Language Pertaining to Assignable Time</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 Assignable Time Definition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8.2.1 Assigned Time is defined as the amount of time that Employers/School Divisions assign teachers and within which they require teachers to fulfill various professional duties and responsibilities including but not limited to: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operational days (including teachers’ convention)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instruction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supervision, including before and after classes, transition time between classes, recesses and lunch breaks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d) parent teacher interviews and meetings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e) Employer/School Division and school directed professional development, time assigned to teacher professional development, and travel as defined in Clause 8.2.3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f) staff meetings</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g) time assigned before and at the end of the school day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h) other activities that are specified by the Employer/School Division to occur at a particular time and place within a reasonable work day.</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8.2.2 Teachers have professional obligations under the Education Act and regulations made pursuant to the Education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8.2.3 Time spent traveling to and from professional development opportunities identified in 8.2.1 (e) will not be considered in the calculation of a teacher’s assignable time if:</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the teacher is being provided any other pay, allowances or a per diem for that travel time (excluding any compensation provided for mileage).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the time is spent traveling to and from the teacher’s annual convention.</a:t>
          </a:r>
        </a:p>
        <a:p>
          <a:endParaRPr lang="en-CA" sz="1100"/>
        </a:p>
      </xdr:txBody>
    </xdr:sp>
    <xdr:clientData/>
  </xdr:twoCellAnchor>
  <xdr:twoCellAnchor>
    <xdr:from>
      <xdr:col>1</xdr:col>
      <xdr:colOff>19049</xdr:colOff>
      <xdr:row>27</xdr:row>
      <xdr:rowOff>15240</xdr:rowOff>
    </xdr:from>
    <xdr:to>
      <xdr:col>16</xdr:col>
      <xdr:colOff>532049</xdr:colOff>
      <xdr:row>63</xdr:row>
      <xdr:rowOff>99060</xdr:rowOff>
    </xdr:to>
    <xdr:sp macro="" textlink="">
      <xdr:nvSpPr>
        <xdr:cNvPr id="3" name="TextBox 2">
          <a:extLst>
            <a:ext uri="{FF2B5EF4-FFF2-40B4-BE49-F238E27FC236}">
              <a16:creationId xmlns:a16="http://schemas.microsoft.com/office/drawing/2014/main" id="{B1968695-0E83-F241-22DA-882487E3A8C5}"/>
            </a:ext>
          </a:extLst>
        </xdr:cNvPr>
        <xdr:cNvSpPr txBox="1"/>
      </xdr:nvSpPr>
      <xdr:spPr>
        <a:xfrm>
          <a:off x="628649" y="4998720"/>
          <a:ext cx="9657000" cy="666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Please note that your Instructional Time is INCLUDED in your Assigned time, it is NOT separate from it.</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children are directed toward achieving the outcomes of approved programs of study and/or individualized program plans through </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face-to-face interaction with children for the purpose of teaching and assessing children’s achievement of outcomes, and/or </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children who are engaged in classroom learning in a Kindergarten, preschool, playschool, daycare or child-care setting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the purposes of instruction and other activities for children where direct child–teacher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children</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Teacher-Directed 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ECS programming for children diagnosed with severe disabilities or severe language delay and moderate language delay, teacher-directed instruction may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IPP/ISP development</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lesson planning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assessment of child's learning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reporting progress to parents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liaison and coordination of IPP/ISP activities with playschool, preschool, etc. staff</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transition planning for following school year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individual sessions with parents and their child</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coordination of direct and/or consultative services from therapists in support of the child's IPP/ISP goals</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Other instructional activities may include visits to the child's home to coach parents and caregivers on specific skill/strategies related to the child’s learning, or, demonstration of child learning in child-parent-teacher conferences as a means of reporting the results of the teacher’s evaluation of the child.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endParaRPr lang="en-CA" sz="1100"/>
        </a:p>
      </xdr:txBody>
    </xdr:sp>
    <xdr:clientData/>
  </xdr:twoCellAnchor>
  <xdr:twoCellAnchor>
    <xdr:from>
      <xdr:col>1</xdr:col>
      <xdr:colOff>34290</xdr:colOff>
      <xdr:row>66</xdr:row>
      <xdr:rowOff>104775</xdr:rowOff>
    </xdr:from>
    <xdr:to>
      <xdr:col>16</xdr:col>
      <xdr:colOff>547290</xdr:colOff>
      <xdr:row>92</xdr:row>
      <xdr:rowOff>45720</xdr:rowOff>
    </xdr:to>
    <xdr:sp macro="" textlink="">
      <xdr:nvSpPr>
        <xdr:cNvPr id="4" name="TextBox 3">
          <a:extLst>
            <a:ext uri="{FF2B5EF4-FFF2-40B4-BE49-F238E27FC236}">
              <a16:creationId xmlns:a16="http://schemas.microsoft.com/office/drawing/2014/main" id="{23A6DDC4-4C2B-4E56-DC09-6AB5711F6153}"/>
            </a:ext>
          </a:extLst>
        </xdr:cNvPr>
        <xdr:cNvSpPr txBox="1"/>
      </xdr:nvSpPr>
      <xdr:spPr>
        <a:xfrm>
          <a:off x="643890" y="12220575"/>
          <a:ext cx="9657000" cy="469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endParaRPr lang="en-CA" sz="1100"/>
        </a:p>
      </xdr:txBody>
    </xdr:sp>
    <xdr:clientData/>
  </xdr:twoCellAnchor>
  <xdr:twoCellAnchor>
    <xdr:from>
      <xdr:col>1</xdr:col>
      <xdr:colOff>22860</xdr:colOff>
      <xdr:row>93</xdr:row>
      <xdr:rowOff>13336</xdr:rowOff>
    </xdr:from>
    <xdr:to>
      <xdr:col>16</xdr:col>
      <xdr:colOff>535860</xdr:colOff>
      <xdr:row>120</xdr:row>
      <xdr:rowOff>22860</xdr:rowOff>
    </xdr:to>
    <xdr:sp macro="" textlink="">
      <xdr:nvSpPr>
        <xdr:cNvPr id="5" name="TextBox 4">
          <a:extLst>
            <a:ext uri="{FF2B5EF4-FFF2-40B4-BE49-F238E27FC236}">
              <a16:creationId xmlns:a16="http://schemas.microsoft.com/office/drawing/2014/main" id="{3021E71A-1966-EEC7-538C-EC1DD492CEB5}"/>
            </a:ext>
          </a:extLst>
        </xdr:cNvPr>
        <xdr:cNvSpPr txBox="1"/>
      </xdr:nvSpPr>
      <xdr:spPr>
        <a:xfrm>
          <a:off x="632460" y="17066896"/>
          <a:ext cx="9657000" cy="4947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plans/instructional support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supervised study halls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graduation/commencement rehearsals and ceremonies</a:t>
          </a:r>
        </a:p>
        <a:p>
          <a:endParaRPr lang="en-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723900</xdr:colOff>
      <xdr:row>5</xdr:row>
      <xdr:rowOff>15240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3825" y="0"/>
          <a:ext cx="5143500" cy="1028700"/>
        </a:xfrm>
        <a:prstGeom prst="rect">
          <a:avLst/>
        </a:prstGeom>
      </xdr:spPr>
    </xdr:pic>
    <xdr:clientData/>
  </xdr:twoCellAnchor>
  <xdr:twoCellAnchor>
    <xdr:from>
      <xdr:col>1</xdr:col>
      <xdr:colOff>9525</xdr:colOff>
      <xdr:row>5</xdr:row>
      <xdr:rowOff>66675</xdr:rowOff>
    </xdr:from>
    <xdr:to>
      <xdr:col>7</xdr:col>
      <xdr:colOff>1409700</xdr:colOff>
      <xdr:row>8</xdr:row>
      <xdr:rowOff>9525</xdr:rowOff>
    </xdr:to>
    <xdr:sp macro="" textlink="">
      <xdr:nvSpPr>
        <xdr:cNvPr id="2" name="TextBox 1">
          <a:extLst>
            <a:ext uri="{FF2B5EF4-FFF2-40B4-BE49-F238E27FC236}">
              <a16:creationId xmlns:a16="http://schemas.microsoft.com/office/drawing/2014/main" id="{64CA9919-CDC6-7280-1574-D38D2A062834}"/>
            </a:ext>
          </a:extLst>
        </xdr:cNvPr>
        <xdr:cNvSpPr txBox="1"/>
      </xdr:nvSpPr>
      <xdr:spPr>
        <a:xfrm>
          <a:off x="133350" y="1114425"/>
          <a:ext cx="10134600" cy="5715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latin typeface="Times New Roman" panose="02020603050405020304" pitchFamily="18" charset="0"/>
              <a:cs typeface="Times New Roman" panose="02020603050405020304" pitchFamily="18" charset="0"/>
            </a:rPr>
            <a:t>Identify</a:t>
          </a:r>
          <a:r>
            <a:rPr lang="en-CA" sz="1100" baseline="0">
              <a:latin typeface="Times New Roman" panose="02020603050405020304" pitchFamily="18" charset="0"/>
              <a:cs typeface="Times New Roman" panose="02020603050405020304" pitchFamily="18" charset="0"/>
            </a:rPr>
            <a:t> each non-instructional day by selecting the down arrow and scrolling down to the appropriate type of day. If you make a mistake and need to remove an entry, simply select it and hit delete on your keyboard.</a:t>
          </a:r>
          <a:endParaRPr lang="en-CA" sz="1100">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685799</xdr:colOff>
      <xdr:row>5</xdr:row>
      <xdr:rowOff>0</xdr:rowOff>
    </xdr:from>
    <xdr:to>
      <xdr:col>11</xdr:col>
      <xdr:colOff>9524</xdr:colOff>
      <xdr:row>10</xdr:row>
      <xdr:rowOff>9525</xdr:rowOff>
    </xdr:to>
    <xdr:sp macro="" textlink="">
      <xdr:nvSpPr>
        <xdr:cNvPr id="2" name="TextBox 1">
          <a:extLst>
            <a:ext uri="{FF2B5EF4-FFF2-40B4-BE49-F238E27FC236}">
              <a16:creationId xmlns:a16="http://schemas.microsoft.com/office/drawing/2014/main" id="{50431A1A-FED5-41B5-96C7-EE365EDE1AAA}"/>
            </a:ext>
          </a:extLst>
        </xdr:cNvPr>
        <xdr:cNvSpPr txBox="1"/>
      </xdr:nvSpPr>
      <xdr:spPr>
        <a:xfrm>
          <a:off x="685799" y="209550"/>
          <a:ext cx="9915525" cy="1057275"/>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Times New Roman" panose="02020603050405020304" pitchFamily="18" charset="0"/>
              <a:ea typeface="+mn-ea"/>
              <a:cs typeface="Times New Roman" panose="02020603050405020304" pitchFamily="18" charset="0"/>
            </a:rPr>
            <a:t>Instructions</a:t>
          </a:r>
          <a:r>
            <a:rPr lang="en-CA" b="1">
              <a:latin typeface="Times New Roman" panose="02020603050405020304" pitchFamily="18" charset="0"/>
              <a:cs typeface="Times New Roman" panose="02020603050405020304" pitchFamily="18" charset="0"/>
            </a:rPr>
            <a:t> </a:t>
          </a:r>
          <a:br>
            <a:rPr lang="en-CA" b="1">
              <a:latin typeface="Times New Roman" panose="02020603050405020304" pitchFamily="18" charset="0"/>
              <a:cs typeface="Times New Roman" panose="02020603050405020304" pitchFamily="18" charset="0"/>
            </a:rPr>
          </a:br>
          <a:r>
            <a:rPr lang="en-CA" b="0">
              <a:latin typeface="Times New Roman" panose="02020603050405020304" pitchFamily="18" charset="0"/>
              <a:cs typeface="Times New Roman" panose="02020603050405020304" pitchFamily="18" charset="0"/>
            </a:rPr>
            <a:t>Use</a:t>
          </a:r>
          <a:r>
            <a:rPr lang="en-CA" b="0" baseline="0">
              <a:latin typeface="Times New Roman" panose="02020603050405020304" pitchFamily="18" charset="0"/>
              <a:cs typeface="Times New Roman" panose="02020603050405020304" pitchFamily="18" charset="0"/>
            </a:rPr>
            <a:t> this page to keep track of extra things that come up during the year. This could include (but is not limited to) covering a colleague's class, covering supervision duties for a colleague, an emergent meeting that comes up, periodic regularly scheduled meetings, etc.  </a:t>
          </a:r>
          <a:r>
            <a:rPr lang="en-CA" sz="1100" b="0" i="0" u="none" strike="noStrike">
              <a:solidFill>
                <a:schemeClr val="dk1"/>
              </a:solidFill>
              <a:effectLst/>
              <a:latin typeface="Times New Roman" panose="02020603050405020304" pitchFamily="18" charset="0"/>
              <a:ea typeface="+mn-ea"/>
              <a:cs typeface="Times New Roman" panose="02020603050405020304" pitchFamily="18" charset="0"/>
            </a:rPr>
            <a:t>Enter the date, the start and end time for each activity on each day in the tables below. Next, select the activity type from the drop down menu in the Activity cell.</a:t>
          </a:r>
          <a:r>
            <a:rPr lang="en-CA">
              <a:latin typeface="Times New Roman" panose="02020603050405020304" pitchFamily="18" charset="0"/>
              <a:cs typeface="Times New Roman" panose="02020603050405020304" pitchFamily="18" charset="0"/>
            </a:rPr>
            <a:t>  Enter the</a:t>
          </a:r>
          <a:r>
            <a:rPr lang="en-CA" baseline="0">
              <a:latin typeface="Times New Roman" panose="02020603050405020304" pitchFamily="18" charset="0"/>
              <a:cs typeface="Times New Roman" panose="02020603050405020304" pitchFamily="18" charset="0"/>
            </a:rPr>
            <a:t> times using the 24:00 hour format. For example, 1:30 PM is entered as 13:30. </a:t>
          </a:r>
          <a:r>
            <a:rPr lang="en-CA" sz="1100" baseline="0">
              <a:solidFill>
                <a:schemeClr val="dk1"/>
              </a:solidFill>
              <a:effectLst/>
              <a:latin typeface="Times New Roman" panose="02020603050405020304" pitchFamily="18" charset="0"/>
              <a:ea typeface="+mn-ea"/>
              <a:cs typeface="Times New Roman" panose="02020603050405020304" pitchFamily="18" charset="0"/>
            </a:rPr>
            <a:t>Alternatively, you can enter it as 1:30 PM (including the PM is necessary)</a:t>
          </a:r>
          <a:endParaRPr lang="en-CA" sz="1100">
            <a:latin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5</xdr:col>
      <xdr:colOff>1215390</xdr:colOff>
      <xdr:row>5</xdr:row>
      <xdr:rowOff>1905</xdr:rowOff>
    </xdr:to>
    <xdr:pic>
      <xdr:nvPicPr>
        <xdr:cNvPr id="4" name="Picture 3">
          <a:extLst>
            <a:ext uri="{FF2B5EF4-FFF2-40B4-BE49-F238E27FC236}">
              <a16:creationId xmlns:a16="http://schemas.microsoft.com/office/drawing/2014/main" id="{B03AA5B8-F738-4B83-B41D-BF910180ACF6}"/>
            </a:ext>
          </a:extLst>
        </xdr:cNvPr>
        <xdr:cNvPicPr>
          <a:picLocks noChangeAspect="1"/>
        </xdr:cNvPicPr>
      </xdr:nvPicPr>
      <xdr:blipFill>
        <a:blip xmlns:r="http://schemas.openxmlformats.org/officeDocument/2006/relationships" r:embed="rId1"/>
        <a:stretch>
          <a:fillRect/>
        </a:stretch>
      </xdr:blipFill>
      <xdr:spPr>
        <a:xfrm>
          <a:off x="0" y="0"/>
          <a:ext cx="5273040" cy="1038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72390</xdr:colOff>
      <xdr:row>5</xdr:row>
      <xdr:rowOff>19050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28575"/>
          <a:ext cx="5143500" cy="1028700"/>
        </a:xfrm>
        <a:prstGeom prst="rect">
          <a:avLst/>
        </a:prstGeom>
      </xdr:spPr>
    </xdr:pic>
    <xdr:clientData/>
  </xdr:twoCellAnchor>
  <xdr:twoCellAnchor>
    <xdr:from>
      <xdr:col>1</xdr:col>
      <xdr:colOff>0</xdr:colOff>
      <xdr:row>5</xdr:row>
      <xdr:rowOff>0</xdr:rowOff>
    </xdr:from>
    <xdr:to>
      <xdr:col>9</xdr:col>
      <xdr:colOff>781050</xdr:colOff>
      <xdr:row>10</xdr:row>
      <xdr:rowOff>190499</xdr:rowOff>
    </xdr:to>
    <xdr:sp macro="" textlink="">
      <xdr:nvSpPr>
        <xdr:cNvPr id="3" name="TextBox 2">
          <a:extLst>
            <a:ext uri="{FF2B5EF4-FFF2-40B4-BE49-F238E27FC236}">
              <a16:creationId xmlns:a16="http://schemas.microsoft.com/office/drawing/2014/main" id="{E565F289-DEC7-4DBF-AAB9-DE63876E1C3E}"/>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1</xdr:rowOff>
    </xdr:from>
    <xdr:to>
      <xdr:col>9</xdr:col>
      <xdr:colOff>762000</xdr:colOff>
      <xdr:row>10</xdr:row>
      <xdr:rowOff>190500</xdr:rowOff>
    </xdr:to>
    <xdr:sp macro="" textlink="">
      <xdr:nvSpPr>
        <xdr:cNvPr id="2" name="TextBox 1">
          <a:extLst>
            <a:ext uri="{FF2B5EF4-FFF2-40B4-BE49-F238E27FC236}">
              <a16:creationId xmlns:a16="http://schemas.microsoft.com/office/drawing/2014/main" id="{458A4659-9ACB-4967-97A7-E1EB7884C1CA}"/>
            </a:ext>
          </a:extLst>
        </xdr:cNvPr>
        <xdr:cNvSpPr txBox="1"/>
      </xdr:nvSpPr>
      <xdr:spPr>
        <a:xfrm>
          <a:off x="685800" y="1047751"/>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twoCellAnchor editAs="oneCell">
    <xdr:from>
      <xdr:col>0</xdr:col>
      <xdr:colOff>0</xdr:colOff>
      <xdr:row>0</xdr:row>
      <xdr:rowOff>28575</xdr:rowOff>
    </xdr:from>
    <xdr:to>
      <xdr:col>5</xdr:col>
      <xdr:colOff>76200</xdr:colOff>
      <xdr:row>5</xdr:row>
      <xdr:rowOff>19050</xdr:rowOff>
    </xdr:to>
    <xdr:pic>
      <xdr:nvPicPr>
        <xdr:cNvPr id="3" name="Picture 2">
          <a:extLst>
            <a:ext uri="{FF2B5EF4-FFF2-40B4-BE49-F238E27FC236}">
              <a16:creationId xmlns:a16="http://schemas.microsoft.com/office/drawing/2014/main" id="{1FE56ABE-647D-41E4-A9F7-64A44BDA4781}"/>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38100</xdr:colOff>
      <xdr:row>5</xdr:row>
      <xdr:rowOff>15240</xdr:rowOff>
    </xdr:to>
    <xdr:pic>
      <xdr:nvPicPr>
        <xdr:cNvPr id="3" name="Picture 2">
          <a:extLst>
            <a:ext uri="{FF2B5EF4-FFF2-40B4-BE49-F238E27FC236}">
              <a16:creationId xmlns:a16="http://schemas.microsoft.com/office/drawing/2014/main" id="{2FB0D326-A2AB-417F-843F-2C0032D9C585}"/>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7E1EB059-CBF8-4987-815A-D4FC7E304D3B}"/>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186690</xdr:colOff>
      <xdr:row>5</xdr:row>
      <xdr:rowOff>15240</xdr:rowOff>
    </xdr:to>
    <xdr:pic>
      <xdr:nvPicPr>
        <xdr:cNvPr id="3" name="Picture 2">
          <a:extLst>
            <a:ext uri="{FF2B5EF4-FFF2-40B4-BE49-F238E27FC236}">
              <a16:creationId xmlns:a16="http://schemas.microsoft.com/office/drawing/2014/main" id="{D9ABA43E-4F4F-4A93-BE6F-5561129AB82D}"/>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A9988274-B11E-498A-A1AC-22AA2866C9A5}"/>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B4AF113-FBF2-460B-B36A-740AC9362CE5}" name="ImportSummary" displayName="ImportSummary" ref="B118:I119" totalsRowShown="0" headerRowDxfId="757" dataDxfId="756">
  <autoFilter ref="B118:I119" xr:uid="{AB4AF113-FBF2-460B-B36A-740AC9362CE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C7F2918-89F3-4481-83EE-0F7966F237F5}" name="Name" dataDxfId="755">
      <calculatedColumnFormula>+'Detailed Summary'!C8</calculatedColumnFormula>
    </tableColumn>
    <tableColumn id="8" xr3:uid="{EF7F7687-030E-43C5-9E99-3837C77300BF}" name="Employer" dataDxfId="754">
      <calculatedColumnFormula>'START HERE'!C8</calculatedColumnFormula>
    </tableColumn>
    <tableColumn id="7" xr3:uid="{3C2E05CF-BB11-4D1A-A0CD-16F4F552A6A1}" name="School" dataDxfId="753">
      <calculatedColumnFormula>School</calculatedColumnFormula>
    </tableColumn>
    <tableColumn id="2" xr3:uid="{D61BB2BD-4ACC-4146-9446-0934C3C851AF}" name="FTE" dataDxfId="752">
      <calculatedColumnFormula>FTE</calculatedColumnFormula>
    </tableColumn>
    <tableColumn id="11" xr3:uid="{4DDB0316-ED9D-400B-8C5F-A49777A85444}" name="NumTeachers" dataDxfId="751">
      <calculatedColumnFormula>NumTeachers</calculatedColumnFormula>
    </tableColumn>
    <tableColumn id="3" xr3:uid="{FC22A129-B137-4C8B-8E7E-B03D21249640}" name="Instructional" dataDxfId="750">
      <calculatedColumnFormula>C24+E24</calculatedColumnFormula>
    </tableColumn>
    <tableColumn id="4" xr3:uid="{A748DC2F-9433-4107-801D-4806F3466903}" name="NonInstructional" dataDxfId="749">
      <calculatedColumnFormula>+D24+G24</calculatedColumnFormula>
    </tableColumn>
    <tableColumn id="5" xr3:uid="{DA12D688-8E4D-4154-A29A-2408F75EE264}" name="Total" dataDxfId="748">
      <calculatedColumnFormula>+F29</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F5CF7EF-95DC-4CF9-90A0-885D49AB566F}" name="Term1_Early_Dismissal_1" displayName="Term1_Early_Dismissal_1" ref="B56:G89" totalsRowShown="0" headerRowDxfId="681" dataDxfId="680">
  <autoFilter ref="B56:G89" xr:uid="{6F5CF7EF-95DC-4CF9-90A0-885D49AB566F}">
    <filterColumn colId="0" hiddenButton="1"/>
    <filterColumn colId="1" hiddenButton="1"/>
    <filterColumn colId="2" hiddenButton="1"/>
    <filterColumn colId="3" hiddenButton="1"/>
    <filterColumn colId="4" hiddenButton="1"/>
    <filterColumn colId="5" hiddenButton="1"/>
  </autoFilter>
  <tableColumns count="6">
    <tableColumn id="1" xr3:uid="{070DEC46-2C53-4918-9136-F2E30C6A9DC0}" name="Start" dataDxfId="679"/>
    <tableColumn id="2" xr3:uid="{CCE0BF4D-E8E9-40CB-839C-D639D1BBB55B}" name="End" dataDxfId="678"/>
    <tableColumn id="4" xr3:uid="{7F2E8536-6737-4F24-A04F-AE6306CB15BB}" name="Activity" dataDxfId="677"/>
    <tableColumn id="3" xr3:uid="{07E7C29D-FC77-4137-96C7-4F8D2B2E3C2F}" name="Elapsed" dataDxfId="676">
      <calculatedColumnFormula>IF(OR(ISBLANK(Term1_Early_Dismissal_1[[#This Row],[Start]]),ISBLANK(Term1_Early_Dismissal_1[[#This Row],[End]])),"",(Term1_Early_Dismissal_1[[#This Row],[End]]-Term1_Early_Dismissal_1[[#This Row],[Start]])*1440)</calculatedColumnFormula>
    </tableColumn>
    <tableColumn id="5" xr3:uid="{47A72FFE-098E-42FB-8EEB-27718523E195}" name="Instructional Time" dataDxfId="675">
      <calculatedColumnFormula>IF(ISBLANK(Term1_Early_Dismissal_1[[#This Row],[Activity]]),"",IF(_xlfn.XLOOKUP(Term1_Early_Dismissal_1[[#This Row],[Activity]],Types_of_Activity[Type of Activity],Types_of_Activity[Classification])=1,Term1_Early_Dismissal_1[[#This Row],[Elapsed]],0))</calculatedColumnFormula>
    </tableColumn>
    <tableColumn id="6" xr3:uid="{3CF4AE93-2904-44E2-9FA6-37F69E6133B4}" name="Assigned Time (Non-Instructional)" dataDxfId="674">
      <calculatedColumnFormula>IF(ISBLANK(Term1_Early_Dismissal_1[[#This Row],[Activity]]),"",IF(_xlfn.XLOOKUP(Term1_Early_Dismissal_1[[#This Row],[Activity]],Types_of_Activity[Type of Activity],Types_of_Activity[Classification])=2,Term1_Early_Dismissal_1[[#This Row],[Elapsed]],0))</calculatedColumnFormula>
    </tableColumn>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274F120-1035-4BD2-90E2-21C8E4A1FDD8}" name="Term1_Early_Dismissal_2" displayName="Term1_Early_Dismissal_2" ref="I56:N89" totalsRowShown="0" headerRowDxfId="673" dataDxfId="672">
  <autoFilter ref="I56:N89" xr:uid="{B274F120-1035-4BD2-90E2-21C8E4A1FDD8}">
    <filterColumn colId="0" hiddenButton="1"/>
    <filterColumn colId="1" hiddenButton="1"/>
    <filterColumn colId="2" hiddenButton="1"/>
    <filterColumn colId="3" hiddenButton="1"/>
    <filterColumn colId="4" hiddenButton="1"/>
    <filterColumn colId="5" hiddenButton="1"/>
  </autoFilter>
  <tableColumns count="6">
    <tableColumn id="1" xr3:uid="{16BBC30D-368D-4945-A5D4-F9A8F22A8CF7}" name="Start" dataDxfId="671"/>
    <tableColumn id="2" xr3:uid="{2CFF3DD0-76BE-4335-8E4E-EC4573E34710}" name="End" dataDxfId="670"/>
    <tableColumn id="4" xr3:uid="{4B836017-7878-4B49-BF96-7B84DA0CD36A}" name="Activity" dataDxfId="669"/>
    <tableColumn id="3" xr3:uid="{A2628393-79C9-4F9F-A0C6-42D221DB1B0F}" name="Elapsed" dataDxfId="668">
      <calculatedColumnFormula>IF(OR(ISBLANK(Term1_Early_Dismissal_2[[#This Row],[Start]]),ISBLANK(Term1_Early_Dismissal_2[[#This Row],[End]])),"",(Term1_Early_Dismissal_2[[#This Row],[End]]-Term1_Early_Dismissal_2[[#This Row],[Start]])*1440)</calculatedColumnFormula>
    </tableColumn>
    <tableColumn id="5" xr3:uid="{ED365319-B5C1-451A-B1EB-051FAE79BCB8}" name="Instructional Time" dataDxfId="667">
      <calculatedColumnFormula>IF(ISBLANK(Term1_Early_Dismissal_2[[#This Row],[Activity]]),"",IF(_xlfn.XLOOKUP(Term1_Early_Dismissal_2[[#This Row],[Activity]],Types_of_Activity[Type of Activity],Types_of_Activity[Classification])=1,Term1_Early_Dismissal_2[[#This Row],[Elapsed]],0))</calculatedColumnFormula>
    </tableColumn>
    <tableColumn id="6" xr3:uid="{313E8386-38C2-494E-9A6B-3BB43B911306}" name="Assigned Time (Non-Instructional)" dataDxfId="666">
      <calculatedColumnFormula>IF(ISBLANK(Term1_Early_Dismissal_2[[#This Row],[Activity]]),"",IF(_xlfn.XLOOKUP(Term1_Early_Dismissal_2[[#This Row],[Activity]],Types_of_Activity[Type of Activity],Types_of_Activity[Classification])=2,Term1_Early_Dismissal_2[[#This Row],[Elapsed]],0))</calculatedColumnFormula>
    </tableColumn>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BA7AEFB-3464-4D53-B869-FBF6D9FC8338}" name="Term1_Special_Day_1" displayName="Term1_Special_Day_1" ref="B98:G131" totalsRowShown="0" headerRowDxfId="665" dataDxfId="664">
  <autoFilter ref="B98:G131" xr:uid="{8BA7AEFB-3464-4D53-B869-FBF6D9FC8338}">
    <filterColumn colId="0" hiddenButton="1"/>
    <filterColumn colId="1" hiddenButton="1"/>
    <filterColumn colId="2" hiddenButton="1"/>
    <filterColumn colId="3" hiddenButton="1"/>
    <filterColumn colId="4" hiddenButton="1"/>
    <filterColumn colId="5" hiddenButton="1"/>
  </autoFilter>
  <tableColumns count="6">
    <tableColumn id="1" xr3:uid="{A1110D1A-95B4-4260-BA13-B169A57605B0}" name="Start" dataDxfId="663"/>
    <tableColumn id="2" xr3:uid="{898F2146-F9A4-4E83-8362-8F7618169159}" name="End" dataDxfId="662"/>
    <tableColumn id="4" xr3:uid="{34E7F611-4B90-4DA5-AB50-3BBD9D4C2469}" name="Activity" dataDxfId="661"/>
    <tableColumn id="3" xr3:uid="{E177654B-ABAD-4259-B544-10AB6F6A2B3F}" name="Elapsed" dataDxfId="660">
      <calculatedColumnFormula>IF(OR(ISBLANK(Term1_Special_Day_1[[#This Row],[Start]]),ISBLANK(Term1_Special_Day_1[[#This Row],[End]])),"",(Term1_Special_Day_1[[#This Row],[End]]-Term1_Special_Day_1[[#This Row],[Start]])*1440)</calculatedColumnFormula>
    </tableColumn>
    <tableColumn id="5" xr3:uid="{56AECBF7-53CE-49DD-9B16-994589D3C35D}" name="Instructional Time" dataDxfId="659">
      <calculatedColumnFormula>IF(ISBLANK(Term1_Special_Day_1[[#This Row],[Activity]]),"",IF(_xlfn.XLOOKUP(Term1_Special_Day_1[[#This Row],[Activity]],Types_of_Activity[Type of Activity],Types_of_Activity[Classification])=1,Term1_Special_Day_1[[#This Row],[Elapsed]],0))</calculatedColumnFormula>
    </tableColumn>
    <tableColumn id="6" xr3:uid="{42B6EAEA-D6F0-4E40-9262-D19631E7B51C}" name="Assigned Time (Non-Instructional)" dataDxfId="658">
      <calculatedColumnFormula>IF(ISBLANK(Term1_Special_Day_1[[#This Row],[Activity]]),"",IF(_xlfn.XLOOKUP(Term1_Special_Day_1[[#This Row],[Activity]],Types_of_Activity[Type of Activity],Types_of_Activity[Classification])=2,Term1_Special_Day_1[[#This Row],[Elapsed]],0))</calculatedColumnFormula>
    </tableColumn>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92DA65C-E01F-4B60-A612-0D9AA733EB4F}" name="Term1_Special_Day_2" displayName="Term1_Special_Day_2" ref="I98:N131" totalsRowShown="0" headerRowDxfId="657" dataDxfId="656">
  <autoFilter ref="I98:N131" xr:uid="{892DA65C-E01F-4B60-A612-0D9AA733EB4F}">
    <filterColumn colId="0" hiddenButton="1"/>
    <filterColumn colId="1" hiddenButton="1"/>
    <filterColumn colId="2" hiddenButton="1"/>
    <filterColumn colId="3" hiddenButton="1"/>
    <filterColumn colId="4" hiddenButton="1"/>
    <filterColumn colId="5" hiddenButton="1"/>
  </autoFilter>
  <tableColumns count="6">
    <tableColumn id="1" xr3:uid="{137CD7A4-3F33-40FE-AA4C-418CFA1CA876}" name="Start" dataDxfId="655"/>
    <tableColumn id="2" xr3:uid="{F02993D3-3755-433D-B126-C47BBC7AEE64}" name="End" dataDxfId="654"/>
    <tableColumn id="4" xr3:uid="{BD84EC3E-18D6-4B07-9840-CA7E62CA26DF}" name="Activity" dataDxfId="653"/>
    <tableColumn id="3" xr3:uid="{5CC6FAE3-F26C-461B-996C-080DB593B26B}" name="Elapsed" dataDxfId="652">
      <calculatedColumnFormula>IF(OR(ISBLANK(Term1_Special_Day_2[[#This Row],[Start]]),ISBLANK(Term1_Special_Day_2[[#This Row],[End]])),"",(Term1_Special_Day_2[[#This Row],[End]]-Term1_Special_Day_2[[#This Row],[Start]])*1440)</calculatedColumnFormula>
    </tableColumn>
    <tableColumn id="5" xr3:uid="{CE50A7E7-3383-46D8-9005-56ED135F30D4}" name="Instructional Time" dataDxfId="651">
      <calculatedColumnFormula>IF(ISBLANK(Term1_Special_Day_2[[#This Row],[Activity]]),"",IF(_xlfn.XLOOKUP(Term1_Special_Day_2[[#This Row],[Activity]],Types_of_Activity[Type of Activity],Types_of_Activity[Classification])=1,Term1_Special_Day_2[[#This Row],[Elapsed]],0))</calculatedColumnFormula>
    </tableColumn>
    <tableColumn id="6" xr3:uid="{B4F7AC6D-0F47-44E6-B425-5962AAB445B9}" name="Assigned Time (Non-Instructional)" dataDxfId="650">
      <calculatedColumnFormula>IF(ISBLANK(Term1_Special_Day_2[[#This Row],[Activity]]),"",IF(_xlfn.XLOOKUP(Term1_Special_Day_2[[#This Row],[Activity]],Types_of_Activity[Type of Activity],Types_of_Activity[Classification])=2,Term1_Special_Day_2[[#This Row],[Elapsed]],0))</calculatedColumnFormula>
    </tableColumn>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457D53A-7D67-463A-8C6C-A5E3494A001D}" name="Term1_Special_Day_3" displayName="Term1_Special_Day_3" ref="P98:U131" totalsRowShown="0" headerRowDxfId="649" dataDxfId="648">
  <autoFilter ref="P98:U131" xr:uid="{6457D53A-7D67-463A-8C6C-A5E3494A001D}">
    <filterColumn colId="0" hiddenButton="1"/>
    <filterColumn colId="1" hiddenButton="1"/>
    <filterColumn colId="2" hiddenButton="1"/>
    <filterColumn colId="3" hiddenButton="1"/>
    <filterColumn colId="4" hiddenButton="1"/>
    <filterColumn colId="5" hiddenButton="1"/>
  </autoFilter>
  <tableColumns count="6">
    <tableColumn id="1" xr3:uid="{B79101AD-DFDF-4B3B-B62C-A1DFAEE7F0CA}" name="Start" dataDxfId="647"/>
    <tableColumn id="2" xr3:uid="{2D6D2404-EDC3-4823-B85C-3F65EC91BE1B}" name="End" dataDxfId="646"/>
    <tableColumn id="4" xr3:uid="{D0E50C73-358A-4FE8-9918-825D9A17D60B}" name="Activity" dataDxfId="645"/>
    <tableColumn id="3" xr3:uid="{001148A1-AB1B-4F00-A3A8-D0CAC67AF360}" name="Elapsed" dataDxfId="644">
      <calculatedColumnFormula>IF(OR(ISBLANK(Term1_Special_Day_3[[#This Row],[Start]]),ISBLANK(Term1_Special_Day_3[[#This Row],[End]])),"",(Term1_Special_Day_3[[#This Row],[End]]-Term1_Special_Day_3[[#This Row],[Start]])*1440)</calculatedColumnFormula>
    </tableColumn>
    <tableColumn id="5" xr3:uid="{006CA156-9518-4928-83D5-85DD9C08C817}" name="Instructional Time" dataDxfId="643">
      <calculatedColumnFormula>IF(ISBLANK(Term1_Special_Day_3[[#This Row],[Activity]]),"",IF(_xlfn.XLOOKUP(Term1_Special_Day_3[[#This Row],[Activity]],Types_of_Activity[Type of Activity],Types_of_Activity[Classification])=1,Term1_Special_Day_3[[#This Row],[Elapsed]],0))</calculatedColumnFormula>
    </tableColumn>
    <tableColumn id="6" xr3:uid="{ADAD6D58-043A-4217-816B-FBE046127B10}" name="Assigned Time (Non-Instructional)" dataDxfId="642">
      <calculatedColumnFormula>IF(ISBLANK(Term1_Special_Day_3[[#This Row],[Activity]]),"",IF(_xlfn.XLOOKUP(Term1_Special_Day_3[[#This Row],[Activity]],Types_of_Activity[Type of Activity],Types_of_Activity[Classification])=2,Term1_Special_Day_3[[#This Row],[Elapsed]],0))</calculatedColumnFormula>
    </tableColumn>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D195264-C525-49D5-B41F-65AA0C3D31BA}" name="Term1_Early_Dismissal_3" displayName="Term1_Early_Dismissal_3" ref="P56:U89" totalsRowShown="0" headerRowDxfId="641" dataDxfId="640">
  <autoFilter ref="P56:U89" xr:uid="{CD195264-C525-49D5-B41F-65AA0C3D31BA}">
    <filterColumn colId="0" hiddenButton="1"/>
    <filterColumn colId="1" hiddenButton="1"/>
    <filterColumn colId="2" hiddenButton="1"/>
    <filterColumn colId="3" hiddenButton="1"/>
    <filterColumn colId="4" hiddenButton="1"/>
    <filterColumn colId="5" hiddenButton="1"/>
  </autoFilter>
  <tableColumns count="6">
    <tableColumn id="1" xr3:uid="{D11AF08C-C382-4B48-A97D-51AC5D84F834}" name="Start" dataDxfId="639"/>
    <tableColumn id="2" xr3:uid="{61817419-CD12-476B-A5AC-464F23DBBD8F}" name="End" dataDxfId="638"/>
    <tableColumn id="4" xr3:uid="{FE1AA51F-20A8-4B30-8DFA-6FAD984D78DC}" name="Activity" dataDxfId="637"/>
    <tableColumn id="3" xr3:uid="{12698A16-1546-4BB1-AA8E-F41C87B7DAC5}" name="Elapsed" dataDxfId="636">
      <calculatedColumnFormula>IF(OR(ISBLANK(Term1_Early_Dismissal_3[[#This Row],[Start]]),ISBLANK(Term1_Early_Dismissal_3[[#This Row],[End]])),"",(Term1_Early_Dismissal_3[[#This Row],[End]]-Term1_Early_Dismissal_3[[#This Row],[Start]])*1440)</calculatedColumnFormula>
    </tableColumn>
    <tableColumn id="5" xr3:uid="{1D2E73A1-2903-40EB-9B9B-FDA235ECB8BA}" name="Instructional Time" dataDxfId="635">
      <calculatedColumnFormula>IF(ISBLANK(Term1_Early_Dismissal_3[[#This Row],[Activity]]),"",IF(_xlfn.XLOOKUP(Term1_Early_Dismissal_3[[#This Row],[Activity]],Types_of_Activity[Type of Activity],Types_of_Activity[Classification])=1,Term1_Early_Dismissal_3[[#This Row],[Elapsed]],0))</calculatedColumnFormula>
    </tableColumn>
    <tableColumn id="6" xr3:uid="{028EF7F7-99B0-4219-85B4-D005EAC3453B}" name="Assigned Time (Non-Instructional)" dataDxfId="634">
      <calculatedColumnFormula>IF(ISBLANK(Term1_Early_Dismissal_3[[#This Row],[Activity]]),"",IF(_xlfn.XLOOKUP(Term1_Early_Dismissal_3[[#This Row],[Activity]],Types_of_Activity[Type of Activity],Types_of_Activity[Classification])=2,Term1_Early_Dismissal_3[[#This Row],[Elapsed]],0))</calculatedColumnFormula>
    </tableColumn>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3E59C0C2-DD56-4980-8F2E-67FEAF2CE85B}" name="Term1_Day_7" displayName="Term1_Day_7" ref="AR17:AW50" totalsRowShown="0" headerRowDxfId="633" dataDxfId="632">
  <autoFilter ref="AR17:AW50" xr:uid="{3E59C0C2-DD56-4980-8F2E-67FEAF2CE85B}">
    <filterColumn colId="0" hiddenButton="1"/>
    <filterColumn colId="1" hiddenButton="1"/>
    <filterColumn colId="2" hiddenButton="1"/>
    <filterColumn colId="3" hiddenButton="1"/>
    <filterColumn colId="4" hiddenButton="1"/>
    <filterColumn colId="5" hiddenButton="1"/>
  </autoFilter>
  <tableColumns count="6">
    <tableColumn id="1" xr3:uid="{C76E1520-0884-4FC4-89F5-C2EC4D0EEEDE}" name="Start" dataDxfId="631"/>
    <tableColumn id="2" xr3:uid="{754715CA-9A28-4C1C-B7F3-F57D6DEEED85}" name="End" dataDxfId="630"/>
    <tableColumn id="4" xr3:uid="{7DD755D9-CF46-4023-97AC-BF00E09A1868}" name="Activity" dataDxfId="629"/>
    <tableColumn id="3" xr3:uid="{03BBF83C-5DE9-42AA-A52A-471839244AF3}" name="Elapsed" dataDxfId="628">
      <calculatedColumnFormula>IF(OR(ISBLANK(Term1_Day_7[[#This Row],[Start]]),ISBLANK(Term1_Day_7[[#This Row],[End]])),"",(Term1_Day_7[[#This Row],[End]]-Term1_Day_7[[#This Row],[Start]])*1440)</calculatedColumnFormula>
    </tableColumn>
    <tableColumn id="5" xr3:uid="{52D742BD-BC8A-453E-B5E8-D953CBC73DB2}" name="Instructional Time" dataDxfId="627">
      <calculatedColumnFormula>IF(ISBLANK(Term1_Day_7[[#This Row],[Activity]]),"",IF(_xlfn.XLOOKUP(Term1_Day_7[[#This Row],[Activity]],Types_of_Activity[Type of Activity],Types_of_Activity[Classification])=1,Term1_Day_7[[#This Row],[Elapsed]],0))</calculatedColumnFormula>
    </tableColumn>
    <tableColumn id="6" xr3:uid="{A51D8270-FAD4-4E12-A2D7-A03F9C8D52FE}" name="Assigned Time (Non-Instructional)" dataDxfId="626">
      <calculatedColumnFormula>IF(ISBLANK(Term1_Day_7[[#This Row],[Activity]]),"",IF(_xlfn.XLOOKUP(Term1_Day_7[[#This Row],[Activity]],Types_of_Activity[Type of Activity],Types_of_Activity[Classification])=2,Term1_Day_7[[#This Row],[Elapsed]],0))</calculatedColumnFormula>
    </tableColumn>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2A4C193-B865-489F-8952-653081737930}" name="Term1_Day_8" displayName="Term1_Day_8" ref="AY17:BD50" totalsRowShown="0" headerRowDxfId="625" dataDxfId="624">
  <autoFilter ref="AY17:BD50" xr:uid="{52A4C193-B865-489F-8952-653081737930}">
    <filterColumn colId="0" hiddenButton="1"/>
    <filterColumn colId="1" hiddenButton="1"/>
    <filterColumn colId="2" hiddenButton="1"/>
    <filterColumn colId="3" hiddenButton="1"/>
    <filterColumn colId="4" hiddenButton="1"/>
    <filterColumn colId="5" hiddenButton="1"/>
  </autoFilter>
  <tableColumns count="6">
    <tableColumn id="1" xr3:uid="{E8BABEEB-8ADC-45F4-B88B-950A6ABAC36F}" name="Start" dataDxfId="623"/>
    <tableColumn id="2" xr3:uid="{921E01C2-1B0B-4981-A3C2-22CE3F0E32CA}" name="End" dataDxfId="622"/>
    <tableColumn id="4" xr3:uid="{21439341-913C-47C0-A73D-39DAD30AE4C3}" name="Activity" dataDxfId="621"/>
    <tableColumn id="3" xr3:uid="{543603C1-FEED-47AA-A60A-625A9576B288}" name="Elapsed" dataDxfId="620">
      <calculatedColumnFormula>IF(OR(ISBLANK(Term1_Day_8[[#This Row],[Start]]),ISBLANK(Term1_Day_8[[#This Row],[End]])),"",(Term1_Day_8[[#This Row],[End]]-Term1_Day_8[[#This Row],[Start]])*1440)</calculatedColumnFormula>
    </tableColumn>
    <tableColumn id="5" xr3:uid="{60094F37-58BD-405D-8C58-E0C3C150AFBA}" name="Instructional Time" dataDxfId="619">
      <calculatedColumnFormula>IF(ISBLANK(Term1_Day_8[[#This Row],[Activity]]),"",IF(_xlfn.XLOOKUP(Term1_Day_8[[#This Row],[Activity]],Types_of_Activity[Type of Activity],Types_of_Activity[Classification])=1,Term1_Day_8[[#This Row],[Elapsed]],0))</calculatedColumnFormula>
    </tableColumn>
    <tableColumn id="6" xr3:uid="{2A1F32F5-B467-45FB-9D03-A1D290DA03D8}" name="Assigned Time (Non-Instructional)" dataDxfId="618">
      <calculatedColumnFormula>IF(ISBLANK(Term1_Day_8[[#This Row],[Activity]]),"",IF(_xlfn.XLOOKUP(Term1_Day_8[[#This Row],[Activity]],Types_of_Activity[Type of Activity],Types_of_Activity[Classification])=2,Term1_Day_8[[#This Row],[Elapsed]],0))</calculatedColumnFormula>
    </tableColumn>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FF72CE2-E9FA-4F58-918D-20E0F375EABD}" name="Term1_Day_9" displayName="Term1_Day_9" ref="BF17:BK50" totalsRowShown="0" headerRowDxfId="617" dataDxfId="616">
  <autoFilter ref="BF17:BK50" xr:uid="{0FF72CE2-E9FA-4F58-918D-20E0F375EABD}">
    <filterColumn colId="0" hiddenButton="1"/>
    <filterColumn colId="1" hiddenButton="1"/>
    <filterColumn colId="2" hiddenButton="1"/>
    <filterColumn colId="3" hiddenButton="1"/>
    <filterColumn colId="4" hiddenButton="1"/>
    <filterColumn colId="5" hiddenButton="1"/>
  </autoFilter>
  <tableColumns count="6">
    <tableColumn id="1" xr3:uid="{9AD0012E-0BC2-42EB-94E9-17AE78E2D370}" name="Start" dataDxfId="615"/>
    <tableColumn id="2" xr3:uid="{A26E5406-516E-4292-9644-B2FFF606600A}" name="End" dataDxfId="614"/>
    <tableColumn id="4" xr3:uid="{0D67FE57-95A3-4C40-9A18-E0A2229AADFF}" name="Activity" dataDxfId="613"/>
    <tableColumn id="3" xr3:uid="{72713849-52FF-40A3-A894-AF338A1D1481}" name="Elapsed" dataDxfId="612">
      <calculatedColumnFormula>IF(OR(ISBLANK(Term1_Day_9[[#This Row],[Start]]),ISBLANK(Term1_Day_9[[#This Row],[End]])),"",(Term1_Day_9[[#This Row],[End]]-Term1_Day_9[[#This Row],[Start]])*1440)</calculatedColumnFormula>
    </tableColumn>
    <tableColumn id="5" xr3:uid="{A49A65C4-1C63-40DD-8090-02508A4E336D}" name="Instructional Time" dataDxfId="611">
      <calculatedColumnFormula>IF(ISBLANK(Term1_Day_9[[#This Row],[Activity]]),"",IF(_xlfn.XLOOKUP(Term1_Day_9[[#This Row],[Activity]],Types_of_Activity[Type of Activity],Types_of_Activity[Classification])=1,Term1_Day_9[[#This Row],[Elapsed]],0))</calculatedColumnFormula>
    </tableColumn>
    <tableColumn id="6" xr3:uid="{9964E386-E2EE-4936-8368-E53B59FF4582}" name="Assigned Time (Non-Instructional)" dataDxfId="610">
      <calculatedColumnFormula>IF(ISBLANK(Term1_Day_9[[#This Row],[Activity]]),"",IF(_xlfn.XLOOKUP(Term1_Day_9[[#This Row],[Activity]],Types_of_Activity[Type of Activity],Types_of_Activity[Classification])=2,Term1_Day_9[[#This Row],[Elapsed]],0))</calculatedColumnFormula>
    </tableColumn>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654DF0E5-BB09-4E0A-AA1D-A42EB786CD74}" name="Term1_Early_Dismissal_4" displayName="Term1_Early_Dismissal_4" ref="W56:AB89" totalsRowShown="0" headerRowDxfId="609" dataDxfId="608">
  <autoFilter ref="W56:AB89" xr:uid="{654DF0E5-BB09-4E0A-AA1D-A42EB786CD74}">
    <filterColumn colId="0" hiddenButton="1"/>
    <filterColumn colId="1" hiddenButton="1"/>
    <filterColumn colId="2" hiddenButton="1"/>
    <filterColumn colId="3" hiddenButton="1"/>
    <filterColumn colId="4" hiddenButton="1"/>
    <filterColumn colId="5" hiddenButton="1"/>
  </autoFilter>
  <tableColumns count="6">
    <tableColumn id="1" xr3:uid="{E8F294A9-99E6-46DF-9CB8-0991CE4C4CDB}" name="Start" dataDxfId="607"/>
    <tableColumn id="2" xr3:uid="{E8593993-EDED-4B35-8D33-48D9F87383C8}" name="End" dataDxfId="606"/>
    <tableColumn id="4" xr3:uid="{0543AFCA-1467-43CB-BEBA-11F117B8841C}" name="Activity" dataDxfId="605"/>
    <tableColumn id="3" xr3:uid="{8FA0D864-C936-43D2-AA26-92BE949C10D7}" name="Elapsed" dataDxfId="604">
      <calculatedColumnFormula>IF(OR(ISBLANK(Term1_Early_Dismissal_4[[#This Row],[Start]]),ISBLANK(Term1_Early_Dismissal_4[[#This Row],[End]])),"",(Term1_Early_Dismissal_4[[#This Row],[End]]-Term1_Early_Dismissal_4[[#This Row],[Start]])*1440)</calculatedColumnFormula>
    </tableColumn>
    <tableColumn id="5" xr3:uid="{D50A74A0-ABC0-4574-977C-C4E9480874E2}" name="Instructional Time" dataDxfId="603">
      <calculatedColumnFormula>IF(ISBLANK(Term1_Early_Dismissal_4[[#This Row],[Activity]]),"",IF(_xlfn.XLOOKUP(Term1_Early_Dismissal_4[[#This Row],[Activity]],Types_of_Activity[Type of Activity],Types_of_Activity[Classification])=1,Term1_Early_Dismissal_4[[#This Row],[Elapsed]],0))</calculatedColumnFormula>
    </tableColumn>
    <tableColumn id="6" xr3:uid="{65592BCB-D252-47E0-8A27-D7FE703EE892}" name="Assigned Time (Non-Instructional)" dataDxfId="602">
      <calculatedColumnFormula>IF(ISBLANK(Term1_Early_Dismissal_4[[#This Row],[Activity]]),"",IF(_xlfn.XLOOKUP(Term1_Early_Dismissal_4[[#This Row],[Activity]],Types_of_Activity[Type of Activity],Types_of_Activity[Classification])=2,Term1_Early_Dismissal_4[[#This Row],[Elapsed]],0))</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5FA9C63-565B-4721-8FFA-B6C18AECD44F}" name="Exceptions" displayName="Exceptions" ref="B12:K360" totalsRowShown="0">
  <autoFilter ref="B12:K360" xr:uid="{95FA9C63-565B-4721-8FFA-B6C18AECD4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8" xr3:uid="{91C7F672-949A-4D04-AB9A-908003E2AC66}" name="Month" dataDxfId="747">
      <calculatedColumnFormula>TEXT(Exceptions[[#This Row],[Date]],"MMMM")</calculatedColumnFormula>
    </tableColumn>
    <tableColumn id="1" xr3:uid="{40033CC8-386A-4ECA-8B7B-84F278F6A2E0}" name="Date" dataDxfId="746">
      <calculatedColumnFormula>+C12+1</calculatedColumnFormula>
    </tableColumn>
    <tableColumn id="2" xr3:uid="{6B3CF310-714F-4FA0-9622-69C9BE78851B}" name="Start" dataDxfId="745"/>
    <tableColumn id="3" xr3:uid="{DB463AB6-F199-4F39-8430-8516D9C60989}" name="End" dataDxfId="744"/>
    <tableColumn id="5" xr3:uid="{265B1029-A91B-485B-82BD-BC8FE45B812A}" name="Activity" dataDxfId="743"/>
    <tableColumn id="9" xr3:uid="{2EF258AC-2CEE-4626-949C-C399630DBFF2}" name="Assigned By" dataDxfId="742"/>
    <tableColumn id="11" xr3:uid="{59F6E6FA-96A9-4D4D-A15B-184868B1A740}" name="Notes" dataDxfId="741"/>
    <tableColumn id="4" xr3:uid="{F350D6F8-5C13-4379-A091-4404DC9F303D}" name="Elapsed" dataDxfId="740">
      <calculatedColumnFormula>IF(OR(ISBLANK(Exceptions[[#This Row],[Start]]),ISBLANK(Exceptions[[#This Row],[End]])),"",(Exceptions[[#This Row],[End]]-Exceptions[[#This Row],[Start]])*1440)</calculatedColumnFormula>
    </tableColumn>
    <tableColumn id="6" xr3:uid="{BE920E3A-37C9-4896-A951-C8C647BDF0C6}" name="Instructional" dataDxfId="739">
      <calculatedColumnFormula>IF(Exceptions[[#This Row],[Activity]]="Instruction",Exceptions[[#This Row],[Elapsed]],0)</calculatedColumnFormula>
    </tableColumn>
    <tableColumn id="7" xr3:uid="{25F91BDA-F18E-4126-991A-A06CB9EA7537}" name="Assigned Time (Non-Instructional)" dataDxfId="738">
      <calculatedColumnFormula>IF(ISBLANK(Exceptions[[#This Row],[Activity]]),"",IF(_xlfn.XLOOKUP(Exceptions[[#This Row],[Activity]],Types_of_Activity[Type of Activity],Types_of_Activity[Classification])=2,Exceptions[[#This Row],[Elapsed]],0))</calculatedColumnFormula>
    </tableColumn>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FC406357-5C2D-4D10-A993-119E9A9AD15E}" name="Term1_Early_Dismissal_5" displayName="Term1_Early_Dismissal_5" ref="AD56:AI89" totalsRowShown="0" headerRowDxfId="601" dataDxfId="600">
  <autoFilter ref="AD56:AI89" xr:uid="{FC406357-5C2D-4D10-A993-119E9A9AD15E}">
    <filterColumn colId="0" hiddenButton="1"/>
    <filterColumn colId="1" hiddenButton="1"/>
    <filterColumn colId="2" hiddenButton="1"/>
    <filterColumn colId="3" hiddenButton="1"/>
    <filterColumn colId="4" hiddenButton="1"/>
    <filterColumn colId="5" hiddenButton="1"/>
  </autoFilter>
  <tableColumns count="6">
    <tableColumn id="1" xr3:uid="{BC5A25FA-0B10-4F32-BD20-69ABFB4F352C}" name="Start" dataDxfId="599"/>
    <tableColumn id="2" xr3:uid="{6C10C6D0-7BEA-403C-9543-6E271068BA14}" name="End" dataDxfId="598"/>
    <tableColumn id="4" xr3:uid="{BDE8511D-E93F-47A2-A1C1-51D5FEF876E1}" name="Activity" dataDxfId="597"/>
    <tableColumn id="3" xr3:uid="{4B090B32-B78F-43F2-928F-1C0EEFF5C0BE}" name="Elapsed" dataDxfId="596">
      <calculatedColumnFormula>IF(OR(ISBLANK(Term1_Early_Dismissal_5[[#This Row],[Start]]),ISBLANK(Term1_Early_Dismissal_5[[#This Row],[End]])),"",(Term1_Early_Dismissal_5[[#This Row],[End]]-Term1_Early_Dismissal_5[[#This Row],[Start]])*1440)</calculatedColumnFormula>
    </tableColumn>
    <tableColumn id="5" xr3:uid="{4BD45C95-330E-4BF4-BDAC-C180B94AC7D5}" name="Instructional Time" dataDxfId="595">
      <calculatedColumnFormula>IF(ISBLANK(Term1_Early_Dismissal_5[[#This Row],[Activity]]),"",IF(_xlfn.XLOOKUP(Term1_Early_Dismissal_5[[#This Row],[Activity]],Types_of_Activity[Type of Activity],Types_of_Activity[Classification])=1,Term1_Early_Dismissal_5[[#This Row],[Elapsed]],0))</calculatedColumnFormula>
    </tableColumn>
    <tableColumn id="6" xr3:uid="{FF6E8C23-7FAE-41BB-AEEE-0331BE7F2F7E}" name="Assigned Time (Non-Instructional)" dataDxfId="594">
      <calculatedColumnFormula>IF(ISBLANK(Term1_Early_Dismissal_5[[#This Row],[Activity]]),"",IF(_xlfn.XLOOKUP(Term1_Early_Dismissal_5[[#This Row],[Activity]],Types_of_Activity[Type of Activity],Types_of_Activity[Classification])=2,Term1_Early_Dismissal_5[[#This Row],[Elapsed]],0))</calculatedColumnFormula>
    </tableColumn>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B9402196-0A48-4355-B3D5-37F8A569FC9B}" name="Term1_Early_Dismissal_6" displayName="Term1_Early_Dismissal_6" ref="AK56:AP89" totalsRowShown="0" headerRowDxfId="593" dataDxfId="592">
  <autoFilter ref="AK56:AP89" xr:uid="{B9402196-0A48-4355-B3D5-37F8A569FC9B}">
    <filterColumn colId="0" hiddenButton="1"/>
    <filterColumn colId="1" hiddenButton="1"/>
    <filterColumn colId="2" hiddenButton="1"/>
    <filterColumn colId="3" hiddenButton="1"/>
    <filterColumn colId="4" hiddenButton="1"/>
    <filterColumn colId="5" hiddenButton="1"/>
  </autoFilter>
  <tableColumns count="6">
    <tableColumn id="1" xr3:uid="{F80C532F-4042-49CF-B202-44761DA95C60}" name="Start" dataDxfId="591"/>
    <tableColumn id="2" xr3:uid="{91304BD5-9E30-4535-BC5A-32D1DC4DB7FD}" name="End" dataDxfId="590"/>
    <tableColumn id="4" xr3:uid="{970E7B08-445B-494B-A103-B702640464D2}" name="Activity" dataDxfId="589"/>
    <tableColumn id="3" xr3:uid="{ADA5915C-F037-42E1-98B9-9F00B320FD3C}" name="Elapsed" dataDxfId="588">
      <calculatedColumnFormula>IF(OR(ISBLANK(Term1_Early_Dismissal_6[[#This Row],[Start]]),ISBLANK(Term1_Early_Dismissal_6[[#This Row],[End]])),"",(Term1_Early_Dismissal_6[[#This Row],[End]]-Term1_Early_Dismissal_6[[#This Row],[Start]])*1440)</calculatedColumnFormula>
    </tableColumn>
    <tableColumn id="5" xr3:uid="{C8C0A025-60C7-4FD8-A592-B3CC44086D20}" name="Instructional Time" dataDxfId="587">
      <calculatedColumnFormula>IF(ISBLANK(Term1_Early_Dismissal_6[[#This Row],[Activity]]),"",IF(_xlfn.XLOOKUP(Term1_Early_Dismissal_6[[#This Row],[Activity]],Types_of_Activity[Type of Activity],Types_of_Activity[Classification])=1,Term1_Early_Dismissal_6[[#This Row],[Elapsed]],0))</calculatedColumnFormula>
    </tableColumn>
    <tableColumn id="6" xr3:uid="{D612A667-B00C-454A-82BD-E80ABCCB7A61}" name="Assigned Time (Non-Instructional)" dataDxfId="586">
      <calculatedColumnFormula>IF(ISBLANK(Term1_Early_Dismissal_6[[#This Row],[Activity]]),"",IF(_xlfn.XLOOKUP(Term1_Early_Dismissal_6[[#This Row],[Activity]],Types_of_Activity[Type of Activity],Types_of_Activity[Classification])=2,Term1_Early_Dismissal_6[[#This Row],[Elapsed]],0))</calculatedColumnFormula>
    </tableColumn>
  </tableColumns>
  <tableStyleInfo name="TableStyleMedium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005A05B-56F6-4713-A53B-E9ECD23FF681}" name="Term2_Day_1" displayName="Term2_Day_1" ref="B17:G50" totalsRowShown="0" headerRowDxfId="585" dataDxfId="584">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5DAFF907-A359-4478-AF22-C1AC7DB708B7}" name="Start" dataDxfId="583"/>
    <tableColumn id="2" xr3:uid="{96F4A156-FBB5-40A2-BEC7-1D1B7E7958B4}" name="End" dataDxfId="582"/>
    <tableColumn id="4" xr3:uid="{1BE4D87F-0262-4ACB-8286-77A11EB11DBF}" name="Activity" dataDxfId="581"/>
    <tableColumn id="3" xr3:uid="{22CD194F-FAF6-4506-AF70-8BF9E7E56216}" name="Elapsed" dataDxfId="580">
      <calculatedColumnFormula>IF(OR(ISBLANK(Term2_Day_1[[#This Row],[Start]]),ISBLANK(Term2_Day_1[[#This Row],[End]])),"",(Term2_Day_1[[#This Row],[End]]-Term2_Day_1[[#This Row],[Start]])*1440)</calculatedColumnFormula>
    </tableColumn>
    <tableColumn id="5" xr3:uid="{68D2F9D3-3089-4475-B202-BCCC1446BD19}" name="Instructional Time" dataDxfId="579">
      <calculatedColumnFormula>IF(ISBLANK(Term2_Day_1[[#This Row],[Activity]]),"",IF(_xlfn.XLOOKUP(Term2_Day_1[[#This Row],[Activity]],Types_of_Activity[Type of Activity],Types_of_Activity[Classification])=1,Term2_Day_1[[#This Row],[Elapsed]],0))</calculatedColumnFormula>
    </tableColumn>
    <tableColumn id="6" xr3:uid="{B2129974-E8D8-4A82-BDF9-7B4060BEEDB5}" name="Assigned Time (Non-Instructional)" dataDxfId="578">
      <calculatedColumnFormula>IF(ISBLANK(Term2_Day_1[[#This Row],[Activity]]),"",IF(_xlfn.XLOOKUP(Term2_Day_1[[#This Row],[Activity]],Types_of_Activity[Type of Activity],Types_of_Activity[Classification])=2,Term2_Day_1[[#This Row],[Elapsed]],0))</calculatedColumnFormula>
    </tableColumn>
  </tableColumns>
  <tableStyleInfo name="TableStyleMedium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6AD837A-697A-473C-B997-396D491BAFE0}" name="Term2_Day_2" displayName="Term2_Day_2" ref="I17:N50" totalsRowShown="0" headerRowDxfId="577" dataDxfId="576">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D3E8D148-6E02-4A1A-86C6-7851EDEFBBAC}" name="Start" dataDxfId="575"/>
    <tableColumn id="2" xr3:uid="{4F5E4B18-EEA4-4D09-8FB0-4960D85BC944}" name="End" dataDxfId="574"/>
    <tableColumn id="4" xr3:uid="{A1353C23-47C2-4770-8795-9960A53CD006}" name="Activity" dataDxfId="573"/>
    <tableColumn id="3" xr3:uid="{87B428F1-CD0D-407D-B611-A840AED20092}" name="Elapsed" dataDxfId="572">
      <calculatedColumnFormula>IF(OR(ISBLANK(Term2_Day_2[[#This Row],[Start]]),ISBLANK(Term2_Day_2[[#This Row],[End]])),"",(Term2_Day_2[[#This Row],[End]]-Term2_Day_2[[#This Row],[Start]])*1440)</calculatedColumnFormula>
    </tableColumn>
    <tableColumn id="5" xr3:uid="{4FF30FC6-1AA6-49A4-A51C-FE0073E7D070}" name="Instructional Time" dataDxfId="571">
      <calculatedColumnFormula>IF(ISBLANK(Term2_Day_2[[#This Row],[Activity]]),"",IF(_xlfn.XLOOKUP(Term2_Day_2[[#This Row],[Activity]],Types_of_Activity[Type of Activity],Types_of_Activity[Classification])=1,Term2_Day_2[[#This Row],[Elapsed]],0))</calculatedColumnFormula>
    </tableColumn>
    <tableColumn id="6" xr3:uid="{306F00FE-C00E-4136-AE92-1A2BBB52FD68}" name="Assigned Time (Non-Instructional)" dataDxfId="570">
      <calculatedColumnFormula>IF(ISBLANK(Term2_Day_2[[#This Row],[Activity]]),"",IF(_xlfn.XLOOKUP(Term2_Day_2[[#This Row],[Activity]],Types_of_Activity[Type of Activity],Types_of_Activity[Classification])=2,Term2_Day_2[[#This Row],[Elapsed]],0))</calculatedColumnFormula>
    </tableColumn>
  </tableColumns>
  <tableStyleInfo name="TableStyleMedium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014BD49-C86A-4E4A-BBBA-E511C2293EF1}" name="Term2_Day_3" displayName="Term2_Day_3" ref="P17:U50" totalsRowShown="0" headerRowDxfId="569" dataDxfId="568">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BA3E469E-AAEC-44B2-B829-F640E1CC4C6E}" name="Start" dataDxfId="567"/>
    <tableColumn id="2" xr3:uid="{7F47BEF3-11DB-40D8-B7A6-2F888FEF9C1E}" name="End" dataDxfId="566"/>
    <tableColumn id="4" xr3:uid="{8C0B899D-F1E3-4E43-9B4B-BC35095595FF}" name="Activity" dataDxfId="565"/>
    <tableColumn id="3" xr3:uid="{64CEB236-84C6-44A4-BE23-A30E1783B72E}" name="Elapsed" dataDxfId="564">
      <calculatedColumnFormula>IF(OR(ISBLANK(Term2_Day_3[[#This Row],[Start]]),ISBLANK(Term2_Day_3[[#This Row],[End]])),"",(Term2_Day_3[[#This Row],[End]]-Term2_Day_3[[#This Row],[Start]])*1440)</calculatedColumnFormula>
    </tableColumn>
    <tableColumn id="5" xr3:uid="{2C5171AB-C266-483A-9B8F-576250BE6776}" name="Instructional Time" dataDxfId="563">
      <calculatedColumnFormula>IF(ISBLANK(Term2_Day_3[[#This Row],[Activity]]),"",IF(_xlfn.XLOOKUP(Term2_Day_3[[#This Row],[Activity]],Types_of_Activity[Type of Activity],Types_of_Activity[Classification])=1,Term2_Day_3[[#This Row],[Elapsed]],0))</calculatedColumnFormula>
    </tableColumn>
    <tableColumn id="6" xr3:uid="{89859609-669E-4E9A-A29B-D234737CD4A5}" name="Assigned Time (Non-Instructional)" dataDxfId="562">
      <calculatedColumnFormula>IF(ISBLANK(Term2_Day_3[[#This Row],[Activity]]),"",IF(_xlfn.XLOOKUP(Term2_Day_3[[#This Row],[Activity]],Types_of_Activity[Type of Activity],Types_of_Activity[Classification])=2,Term2_Day_3[[#This Row],[Elapsed]],0))</calculatedColumnFormula>
    </tableColumn>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367EEAC-6AEF-4B24-9F41-D43DA6DCADB9}" name="Term2_Day_4" displayName="Term2_Day_4" ref="W17:AB50" totalsRowShown="0" headerRowDxfId="561" dataDxfId="560">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D0C0E90C-0B36-4FDF-B547-2E625EC3DC0E}" name="Start" dataDxfId="559"/>
    <tableColumn id="2" xr3:uid="{64F11DE3-B0F9-4A6C-8F47-13EB9697797B}" name="End" dataDxfId="558"/>
    <tableColumn id="4" xr3:uid="{EED05A1F-FEBD-443D-ADCF-D1BCE80DD4FA}" name="Activity" dataDxfId="557"/>
    <tableColumn id="3" xr3:uid="{38AEB462-3AF1-475D-B03A-40A1ED7D3ACB}" name="Elapsed" dataDxfId="556">
      <calculatedColumnFormula>IF(OR(ISBLANK(Term2_Day_4[[#This Row],[Start]]),ISBLANK(Term2_Day_4[[#This Row],[End]])),"",(Term2_Day_4[[#This Row],[End]]-Term2_Day_4[[#This Row],[Start]])*1440)</calculatedColumnFormula>
    </tableColumn>
    <tableColumn id="5" xr3:uid="{C201974D-2D3D-4A75-AF53-FCA1353E8D5B}" name="Instructional Time" dataDxfId="555">
      <calculatedColumnFormula>IF(ISBLANK(Term2_Day_4[[#This Row],[Activity]]),"",IF(_xlfn.XLOOKUP(Term2_Day_4[[#This Row],[Activity]],Types_of_Activity[Type of Activity],Types_of_Activity[Classification])=1,Term2_Day_4[[#This Row],[Elapsed]],0))</calculatedColumnFormula>
    </tableColumn>
    <tableColumn id="6" xr3:uid="{6896D259-B7A3-49FD-B747-E7D410775064}" name="Assigned Time (Non-Instructional)" dataDxfId="554">
      <calculatedColumnFormula>IF(ISBLANK(Term2_Day_4[[#This Row],[Activity]]),"",IF(_xlfn.XLOOKUP(Term2_Day_4[[#This Row],[Activity]],Types_of_Activity[Type of Activity],Types_of_Activity[Classification])=2,Term2_Day_4[[#This Row],[Elapsed]],0))</calculatedColumnFormula>
    </tableColumn>
  </tableColumns>
  <tableStyleInfo name="TableStyleMedium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AC80DCB-9D57-444F-8738-AA13E85F26B5}" name="Term2_Day_5" displayName="Term2_Day_5" ref="AD17:AI50" totalsRowShown="0" headerRowDxfId="553" dataDxfId="552">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7669B1C-0FA6-48FE-9B25-B6A1500F1963}" name="Start" dataDxfId="551"/>
    <tableColumn id="2" xr3:uid="{662764B1-596C-42D8-A8A3-D29E1B44C413}" name="End" dataDxfId="550"/>
    <tableColumn id="4" xr3:uid="{F9646F66-AB1D-42B3-99EA-148EE97E77CC}" name="Activity" dataDxfId="549"/>
    <tableColumn id="3" xr3:uid="{67EEBE3C-72E7-4CA6-B359-08B91BA91474}" name="Elapsed" dataDxfId="548">
      <calculatedColumnFormula>IF(OR(ISBLANK(Term2_Day_5[[#This Row],[Start]]),ISBLANK(Term2_Day_5[[#This Row],[End]])),"",(Term2_Day_5[[#This Row],[End]]-Term2_Day_5[[#This Row],[Start]])*1440)</calculatedColumnFormula>
    </tableColumn>
    <tableColumn id="5" xr3:uid="{703FFDAB-E548-4A62-BE1E-72B7499A608D}" name="Instructional Time" dataDxfId="547">
      <calculatedColumnFormula>IF(ISBLANK(Term2_Day_5[[#This Row],[Activity]]),"",IF(_xlfn.XLOOKUP(Term2_Day_5[[#This Row],[Activity]],Types_of_Activity[Type of Activity],Types_of_Activity[Classification])=1,Term2_Day_5[[#This Row],[Elapsed]],0))</calculatedColumnFormula>
    </tableColumn>
    <tableColumn id="6" xr3:uid="{3D0DDF44-C6BF-41F7-8E3B-3F8DA7EA9699}" name="Assigned Time (Non-Instructional)" dataDxfId="546">
      <calculatedColumnFormula>IF(ISBLANK(Term2_Day_5[[#This Row],[Activity]]),"",IF(_xlfn.XLOOKUP(Term2_Day_5[[#This Row],[Activity]],Types_of_Activity[Type of Activity],Types_of_Activity[Classification])=2,Term2_Day_5[[#This Row],[Elapsed]],0))</calculatedColumnFormula>
    </tableColumn>
  </tableColumns>
  <tableStyleInfo name="TableStyleMedium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2D32953-F493-47BE-8692-CCBE801129DC}" name="Term2_Day_6" displayName="Term2_Day_6" ref="AK17:AP50" totalsRowShown="0" headerRowDxfId="545" dataDxfId="544">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FB783D5B-4EC1-4DF1-800E-86A708378E94}" name="Start" dataDxfId="543"/>
    <tableColumn id="2" xr3:uid="{9E6B4E1D-20F9-479F-851A-93F2A3869187}" name="End" dataDxfId="542"/>
    <tableColumn id="4" xr3:uid="{41AE59D1-781F-47DD-8978-8998B32A49B9}" name="Activity" dataDxfId="541"/>
    <tableColumn id="3" xr3:uid="{E4C9D57A-900B-4CB2-BCE9-D4693FDA4A58}" name="Elapsed" dataDxfId="540">
      <calculatedColumnFormula>IF(OR(ISBLANK(Term2_Day_6[[#This Row],[Start]]),ISBLANK(Term2_Day_6[[#This Row],[End]])),"",(Term2_Day_6[[#This Row],[End]]-Term2_Day_6[[#This Row],[Start]])*1440)</calculatedColumnFormula>
    </tableColumn>
    <tableColumn id="5" xr3:uid="{7FCEC744-0538-4140-B113-C2B442DCBC58}" name="Instructional Time" dataDxfId="539">
      <calculatedColumnFormula>IF(ISBLANK(Term2_Day_6[[#This Row],[Activity]]),"",IF(_xlfn.XLOOKUP(Term2_Day_6[[#This Row],[Activity]],Types_of_Activity[Type of Activity],Types_of_Activity[Classification])=1,Term2_Day_6[[#This Row],[Elapsed]],0))</calculatedColumnFormula>
    </tableColumn>
    <tableColumn id="6" xr3:uid="{5BF012D0-9D74-45B4-8F68-78C53D9EFDA0}" name="Assigned Time (Non-Instructional)" dataDxfId="538">
      <calculatedColumnFormula>IF(ISBLANK(Term2_Day_6[[#This Row],[Activity]]),"",IF(_xlfn.XLOOKUP(Term2_Day_6[[#This Row],[Activity]],Types_of_Activity[Type of Activity],Types_of_Activity[Classification])=2,Term2_Day_6[[#This Row],[Elapsed]],0))</calculatedColumnFormula>
    </tableColumn>
  </tableColumns>
  <tableStyleInfo name="TableStyleMedium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8D4A584-0740-4101-BD91-A55D886C94BD}" name="Term2_Day_10" displayName="Term2_Day_10" ref="BM17:BR50" totalsRowShown="0" headerRowDxfId="537" dataDxfId="536">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78BF31DC-292E-4D2B-A2ED-3942FC5BA061}" name="Start" dataDxfId="535"/>
    <tableColumn id="2" xr3:uid="{0B2C740E-5F19-4E0E-B843-787BB329D860}" name="End" dataDxfId="534"/>
    <tableColumn id="4" xr3:uid="{DE35AE6B-ED0B-44B5-8DF2-94E250A46CB8}" name="Activity" dataDxfId="533"/>
    <tableColumn id="3" xr3:uid="{DDDF7361-A060-48CA-8D5A-FAF5A94E36F8}" name="Elapsed" dataDxfId="532">
      <calculatedColumnFormula>IF(OR(ISBLANK(Term2_Day_10[[#This Row],[Start]]),ISBLANK(Term2_Day_10[[#This Row],[End]])),"",(Term2_Day_10[[#This Row],[End]]-Term2_Day_10[[#This Row],[Start]])*1440)</calculatedColumnFormula>
    </tableColumn>
    <tableColumn id="5" xr3:uid="{007A885A-EFED-4214-BAAE-A31503621E8C}" name="Instructional Time" dataDxfId="531">
      <calculatedColumnFormula>IF(ISBLANK(Term2_Day_10[[#This Row],[Activity]]),"",IF(_xlfn.XLOOKUP(Term2_Day_10[[#This Row],[Activity]],Types_of_Activity[Type of Activity],Types_of_Activity[Classification])=1,Term2_Day_10[[#This Row],[Elapsed]],0))</calculatedColumnFormula>
    </tableColumn>
    <tableColumn id="6" xr3:uid="{0B0C0D18-B987-467A-84F1-8F163DC4E31D}" name="Assigned Time (Non-Instructional)" dataDxfId="530">
      <calculatedColumnFormula>IF(ISBLANK(Term2_Day_10[[#This Row],[Activity]]),"",IF(_xlfn.XLOOKUP(Term2_Day_10[[#This Row],[Activity]],Types_of_Activity[Type of Activity],Types_of_Activity[Classification])=2,Term2_Day_10[[#This Row],[Elapsed]],0))</calculatedColumnFormula>
    </tableColumn>
  </tableColumns>
  <tableStyleInfo name="TableStyleMedium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6DE89CA-99BC-4105-8DBD-B5E5FD943580}" name="Term2_Early_Dismissal_1" displayName="Term2_Early_Dismissal_1" ref="B56:G89" totalsRowShown="0" headerRowDxfId="529" dataDxfId="528">
  <autoFilter ref="B56:G89" xr:uid="{C6DE89CA-99BC-4105-8DBD-B5E5FD943580}">
    <filterColumn colId="0" hiddenButton="1"/>
    <filterColumn colId="1" hiddenButton="1"/>
    <filterColumn colId="2" hiddenButton="1"/>
    <filterColumn colId="3" hiddenButton="1"/>
    <filterColumn colId="4" hiddenButton="1"/>
    <filterColumn colId="5" hiddenButton="1"/>
  </autoFilter>
  <tableColumns count="6">
    <tableColumn id="1" xr3:uid="{C89EF65F-8C84-43ED-92D8-6BC97ADA4C2E}" name="Start" dataDxfId="527"/>
    <tableColumn id="2" xr3:uid="{DEE48A16-808D-4738-8E8F-46C4B8789DEA}" name="End" dataDxfId="526"/>
    <tableColumn id="4" xr3:uid="{43348BD4-E532-4061-9901-010D08D845E6}" name="Activity" dataDxfId="525"/>
    <tableColumn id="3" xr3:uid="{2F0C4CCA-1A28-4CB6-9439-0A8CB17B042A}" name="Elapsed" dataDxfId="524">
      <calculatedColumnFormula>IF(OR(ISBLANK(Term2_Early_Dismissal_1[[#This Row],[Start]]),ISBLANK(Term2_Early_Dismissal_1[[#This Row],[End]])),"",(Term2_Early_Dismissal_1[[#This Row],[End]]-Term2_Early_Dismissal_1[[#This Row],[Start]])*1440)</calculatedColumnFormula>
    </tableColumn>
    <tableColumn id="5" xr3:uid="{1E174D58-1E58-42AD-AF1C-701FE709E87E}" name="Instructional Time" dataDxfId="523">
      <calculatedColumnFormula>IF(ISBLANK(Term2_Early_Dismissal_1[[#This Row],[Activity]]),"",IF(_xlfn.XLOOKUP(Term2_Early_Dismissal_1[[#This Row],[Activity]],Types_of_Activity[Type of Activity],Types_of_Activity[Classification])=1,Term2_Early_Dismissal_1[[#This Row],[Elapsed]],0))</calculatedColumnFormula>
    </tableColumn>
    <tableColumn id="6" xr3:uid="{C74661A8-BB3A-4469-890B-0D93064D5CB8}" name="Assigned Time (Non-Instructional)" dataDxfId="522">
      <calculatedColumnFormula>IF(ISBLANK(Term2_Early_Dismissal_1[[#This Row],[Activity]]),"",IF(_xlfn.XLOOKUP(Term2_Early_Dismissal_1[[#This Row],[Activity]],Types_of_Activity[Type of Activity],Types_of_Activity[Classification])=2,Term2_Early_Dismissal_1[[#This Row],[Elapsed]],0))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9DE672-6462-4FA6-91C5-555D5F869901}" name="Term1_Day_1" displayName="Term1_Day_1" ref="B17:G50" totalsRowShown="0" headerRowDxfId="737" dataDxfId="736">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27513096-8769-46ED-ACAC-066F59D7AB12}" name="Start" dataDxfId="735"/>
    <tableColumn id="2" xr3:uid="{FFA1A771-129B-40FC-8EB7-E19856928E4E}" name="End" dataDxfId="734"/>
    <tableColumn id="4" xr3:uid="{D85FD6BB-7DC3-4D4D-8220-B0A6A71C8312}" name="Activity" dataDxfId="733"/>
    <tableColumn id="3" xr3:uid="{B34E2BAA-3324-43DF-8CF0-861D0FA107DD}" name="Elapsed" dataDxfId="732">
      <calculatedColumnFormula>IF(OR(ISBLANK(Term1_Day_1[[#This Row],[Start]]),ISBLANK(Term1_Day_1[[#This Row],[End]])),"",(Term1_Day_1[[#This Row],[End]]-Term1_Day_1[[#This Row],[Start]])*1440)</calculatedColumnFormula>
    </tableColumn>
    <tableColumn id="5" xr3:uid="{5B2B25B3-79A1-45FB-A082-8F0EDBEAA967}" name="Instructional Time" dataDxfId="731">
      <calculatedColumnFormula>IF(ISBLANK(Term1_Day_1[[#This Row],[Activity]]),"",IF(_xlfn.XLOOKUP(Term1_Day_1[[#This Row],[Activity]],Types_of_Activity[Type of Activity],Types_of_Activity[Classification])=1,Term1_Day_1[[#This Row],[Elapsed]],0))</calculatedColumnFormula>
    </tableColumn>
    <tableColumn id="6" xr3:uid="{6A52459E-666A-46EE-BA29-ADD680CE25A1}" name="Assigned Time (Non-Instructional)" dataDxfId="730">
      <calculatedColumnFormula>IF(ISBLANK(Term1_Day_1[[#This Row],[Activity]]),"",IF(_xlfn.XLOOKUP(Term1_Day_1[[#This Row],[Activity]],Types_of_Activity[Type of Activity],Types_of_Activity[Classification])=2,Term1_Day_1[[#This Row],[Elapsed]],0))</calculatedColumnFormula>
    </tableColumn>
  </tableColumns>
  <tableStyleInfo name="TableStyleMedium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533705E-4266-404B-AF64-076D23E3A96F}" name="Term2_Early_Dismissal_2" displayName="Term2_Early_Dismissal_2" ref="I56:N89" totalsRowShown="0" headerRowDxfId="521" dataDxfId="520">
  <autoFilter ref="I56:N89" xr:uid="{F533705E-4266-404B-AF64-076D23E3A96F}">
    <filterColumn colId="0" hiddenButton="1"/>
    <filterColumn colId="1" hiddenButton="1"/>
    <filterColumn colId="2" hiddenButton="1"/>
    <filterColumn colId="3" hiddenButton="1"/>
    <filterColumn colId="4" hiddenButton="1"/>
    <filterColumn colId="5" hiddenButton="1"/>
  </autoFilter>
  <tableColumns count="6">
    <tableColumn id="1" xr3:uid="{65DDA149-BBB5-4009-A42D-44C3C49018ED}" name="Start" dataDxfId="519"/>
    <tableColumn id="2" xr3:uid="{C9469850-3678-4453-ABC8-D769B4E421F0}" name="End" dataDxfId="518"/>
    <tableColumn id="4" xr3:uid="{5BDA274A-CC2B-448D-AA04-294091342042}" name="Activity" dataDxfId="517"/>
    <tableColumn id="3" xr3:uid="{6121D988-6435-46DF-B924-8B591C827B5D}" name="Elapsed" dataDxfId="516">
      <calculatedColumnFormula>IF(OR(ISBLANK(Term2_Early_Dismissal_2[[#This Row],[Start]]),ISBLANK(Term2_Early_Dismissal_2[[#This Row],[End]])),"",(Term2_Early_Dismissal_2[[#This Row],[End]]-Term2_Early_Dismissal_2[[#This Row],[Start]])*1440)</calculatedColumnFormula>
    </tableColumn>
    <tableColumn id="5" xr3:uid="{B6567694-6F88-4FB5-9C0A-F47879BD048D}" name="Instructional Time" dataDxfId="515">
      <calculatedColumnFormula>IF(ISBLANK(Term2_Early_Dismissal_2[[#This Row],[Activity]]),"",IF(_xlfn.XLOOKUP(Term2_Early_Dismissal_2[[#This Row],[Activity]],Types_of_Activity[Type of Activity],Types_of_Activity[Classification])=1,Term2_Early_Dismissal_2[[#This Row],[Elapsed]],0))</calculatedColumnFormula>
    </tableColumn>
    <tableColumn id="6" xr3:uid="{EFFDB7F1-F39A-429A-BBB8-65BC7D979410}" name="Assigned Time (Non-Instructional)" dataDxfId="514">
      <calculatedColumnFormula>IF(ISBLANK(Term2_Early_Dismissal_2[[#This Row],[Activity]]),"",IF(_xlfn.XLOOKUP(Term2_Early_Dismissal_2[[#This Row],[Activity]],Types_of_Activity[Type of Activity],Types_of_Activity[Classification])=2,Term2_Early_Dismissal_2[[#This Row],[Elapsed]],0))</calculatedColumnFormula>
    </tableColumn>
  </tableColumns>
  <tableStyleInfo name="TableStyleMedium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196E39DD-7C6D-4345-9ADA-3ED273AA0A08}" name="Term2_Special_Day_1" displayName="Term2_Special_Day_1" ref="B98:G131" totalsRowShown="0" headerRowDxfId="513" dataDxfId="512">
  <autoFilter ref="B98:G131" xr:uid="{196E39DD-7C6D-4345-9ADA-3ED273AA0A08}">
    <filterColumn colId="0" hiddenButton="1"/>
    <filterColumn colId="1" hiddenButton="1"/>
    <filterColumn colId="2" hiddenButton="1"/>
    <filterColumn colId="3" hiddenButton="1"/>
    <filterColumn colId="4" hiddenButton="1"/>
    <filterColumn colId="5" hiddenButton="1"/>
  </autoFilter>
  <tableColumns count="6">
    <tableColumn id="1" xr3:uid="{DE629DCB-D40B-408C-B86A-1FA17D7AF90F}" name="Start" dataDxfId="511"/>
    <tableColumn id="2" xr3:uid="{FA7F8132-CAD1-465C-AD96-8253749EEA81}" name="End" dataDxfId="510"/>
    <tableColumn id="4" xr3:uid="{F8A2C888-8303-497C-A534-EEB911086D82}" name="Activity" dataDxfId="509"/>
    <tableColumn id="3" xr3:uid="{CB188E08-F841-4E2E-A5ED-855065C3E784}" name="Elapsed" dataDxfId="508">
      <calculatedColumnFormula>IF(OR(ISBLANK(Term2_Special_Day_1[[#This Row],[Start]]),ISBLANK(Term2_Special_Day_1[[#This Row],[End]])),"",(Term2_Special_Day_1[[#This Row],[End]]-Term2_Special_Day_1[[#This Row],[Start]])*1440)</calculatedColumnFormula>
    </tableColumn>
    <tableColumn id="5" xr3:uid="{ADD54904-48C7-4311-91AD-7CF6220F4B51}" name="Instructional Time" dataDxfId="507">
      <calculatedColumnFormula>IF(ISBLANK(Term2_Special_Day_1[[#This Row],[Activity]]),"",IF(_xlfn.XLOOKUP(Term2_Special_Day_1[[#This Row],[Activity]],Types_of_Activity[Type of Activity],Types_of_Activity[Classification])=1,Term2_Special_Day_1[[#This Row],[Elapsed]],0))</calculatedColumnFormula>
    </tableColumn>
    <tableColumn id="6" xr3:uid="{23102D12-573A-475E-A8F7-242B4B33508A}" name="Assigned Time (Non-Instructional)" dataDxfId="506">
      <calculatedColumnFormula>IF(ISBLANK(Term2_Special_Day_1[[#This Row],[Activity]]),"",IF(_xlfn.XLOOKUP(Term2_Special_Day_1[[#This Row],[Activity]],Types_of_Activity[Type of Activity],Types_of_Activity[Classification])=2,Term2_Special_Day_1[[#This Row],[Elapsed]],0))</calculatedColumnFormula>
    </tableColumn>
  </tableColumns>
  <tableStyleInfo name="TableStyleMedium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C1A770F-60DF-4187-AB03-62B3225F8538}" name="Term2_Special_Day_2" displayName="Term2_Special_Day_2" ref="I98:N131" totalsRowShown="0" headerRowDxfId="505" dataDxfId="504">
  <autoFilter ref="I98:N131" xr:uid="{5C1A770F-60DF-4187-AB03-62B3225F8538}">
    <filterColumn colId="0" hiddenButton="1"/>
    <filterColumn colId="1" hiddenButton="1"/>
    <filterColumn colId="2" hiddenButton="1"/>
    <filterColumn colId="3" hiddenButton="1"/>
    <filterColumn colId="4" hiddenButton="1"/>
    <filterColumn colId="5" hiddenButton="1"/>
  </autoFilter>
  <tableColumns count="6">
    <tableColumn id="1" xr3:uid="{4AA2ACC9-04A1-49AB-A2F4-B7F0DC377A1E}" name="Start" dataDxfId="503"/>
    <tableColumn id="2" xr3:uid="{A68CA384-8D1E-4474-B136-F99F41ED14BD}" name="End" dataDxfId="502"/>
    <tableColumn id="4" xr3:uid="{7F19E971-AF99-45DA-B5EF-BA373D79CBCD}" name="Activity" dataDxfId="501"/>
    <tableColumn id="3" xr3:uid="{DF3F312C-B682-404F-B08D-DF6837E41778}" name="Elapsed" dataDxfId="500">
      <calculatedColumnFormula>IF(OR(ISBLANK(Term2_Special_Day_2[[#This Row],[Start]]),ISBLANK(Term2_Special_Day_2[[#This Row],[End]])),"",(Term2_Special_Day_2[[#This Row],[End]]-Term2_Special_Day_2[[#This Row],[Start]])*1440)</calculatedColumnFormula>
    </tableColumn>
    <tableColumn id="5" xr3:uid="{8BCC497C-9360-4061-8E44-79C6DAC1193E}" name="Instructional Time" dataDxfId="499">
      <calculatedColumnFormula>IF(ISBLANK(Term2_Special_Day_2[[#This Row],[Activity]]),"",IF(_xlfn.XLOOKUP(Term2_Special_Day_2[[#This Row],[Activity]],Types_of_Activity[Type of Activity],Types_of_Activity[Classification])=1,Term2_Special_Day_2[[#This Row],[Elapsed]],0))</calculatedColumnFormula>
    </tableColumn>
    <tableColumn id="6" xr3:uid="{954E354F-F971-4794-A296-256AF021C412}" name="Assigned Time (Non-Instructional)" dataDxfId="498">
      <calculatedColumnFormula>IF(ISBLANK(Term2_Special_Day_2[[#This Row],[Activity]]),"",IF(_xlfn.XLOOKUP(Term2_Special_Day_2[[#This Row],[Activity]],Types_of_Activity[Type of Activity],Types_of_Activity[Classification])=2,Term2_Special_Day_2[[#This Row],[Elapsed]],0))</calculatedColumnFormula>
    </tableColumn>
  </tableColumns>
  <tableStyleInfo name="TableStyleMedium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72F68EA-349A-4213-B5BB-7C496434B484}" name="Term2_Special_Day_3" displayName="Term2_Special_Day_3" ref="P98:U131" totalsRowShown="0" headerRowDxfId="497" dataDxfId="496">
  <autoFilter ref="P98:U131" xr:uid="{672F68EA-349A-4213-B5BB-7C496434B484}">
    <filterColumn colId="0" hiddenButton="1"/>
    <filterColumn colId="1" hiddenButton="1"/>
    <filterColumn colId="2" hiddenButton="1"/>
    <filterColumn colId="3" hiddenButton="1"/>
    <filterColumn colId="4" hiddenButton="1"/>
    <filterColumn colId="5" hiddenButton="1"/>
  </autoFilter>
  <tableColumns count="6">
    <tableColumn id="1" xr3:uid="{D667EEE7-3974-41D7-8659-6945D3A839AA}" name="Start" dataDxfId="495"/>
    <tableColumn id="2" xr3:uid="{7118DEA7-19D2-4E2B-B9E1-E63AE9D1DCAE}" name="End" dataDxfId="494"/>
    <tableColumn id="4" xr3:uid="{79026B32-FBE3-4163-86E4-1C4ACAC0D203}" name="Activity" dataDxfId="493"/>
    <tableColumn id="3" xr3:uid="{30F7F8B3-EF40-4C1D-AE16-96861200AC4F}" name="Elapsed" dataDxfId="492">
      <calculatedColumnFormula>IF(OR(ISBLANK(Term2_Special_Day_3[[#This Row],[Start]]),ISBLANK(Term2_Special_Day_3[[#This Row],[End]])),"",(Term2_Special_Day_3[[#This Row],[End]]-Term2_Special_Day_3[[#This Row],[Start]])*1440)</calculatedColumnFormula>
    </tableColumn>
    <tableColumn id="5" xr3:uid="{95354198-729B-447E-9CC4-E4E885A9F6B8}" name="Instructional Time" dataDxfId="491">
      <calculatedColumnFormula>IF(ISBLANK(Term2_Special_Day_3[[#This Row],[Activity]]),"",IF(_xlfn.XLOOKUP(Term2_Special_Day_3[[#This Row],[Activity]],Types_of_Activity[Type of Activity],Types_of_Activity[Classification])=1,Term2_Special_Day_3[[#This Row],[Elapsed]],0))</calculatedColumnFormula>
    </tableColumn>
    <tableColumn id="6" xr3:uid="{5A58D61F-242D-4BB7-B42C-212EAEA8B278}" name="Assigned Time (Non-Instructional)" dataDxfId="490">
      <calculatedColumnFormula>IF(ISBLANK(Term2_Special_Day_3[[#This Row],[Activity]]),"",IF(_xlfn.XLOOKUP(Term2_Special_Day_3[[#This Row],[Activity]],Types_of_Activity[Type of Activity],Types_of_Activity[Classification])=2,Term2_Special_Day_3[[#This Row],[Elapsed]],0))</calculatedColumnFormula>
    </tableColumn>
  </tableColumns>
  <tableStyleInfo name="TableStyleMedium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A17022D-2CAD-4C73-9AFA-39B9172843C1}" name="Term2_Early_Dismissal_3" displayName="Term2_Early_Dismissal_3" ref="P56:U89" totalsRowShown="0" headerRowDxfId="489" dataDxfId="488">
  <autoFilter ref="P56:U89" xr:uid="{0A17022D-2CAD-4C73-9AFA-39B9172843C1}">
    <filterColumn colId="0" hiddenButton="1"/>
    <filterColumn colId="1" hiddenButton="1"/>
    <filterColumn colId="2" hiddenButton="1"/>
    <filterColumn colId="3" hiddenButton="1"/>
    <filterColumn colId="4" hiddenButton="1"/>
    <filterColumn colId="5" hiddenButton="1"/>
  </autoFilter>
  <tableColumns count="6">
    <tableColumn id="1" xr3:uid="{8CB81E56-D0C4-4787-87F2-5447F769C501}" name="Start" dataDxfId="487"/>
    <tableColumn id="2" xr3:uid="{8C11B563-9050-486F-B0E6-14DD23241574}" name="End" dataDxfId="486"/>
    <tableColumn id="4" xr3:uid="{809DA328-4B56-4B2E-B57D-5EC308007701}" name="Activity" dataDxfId="485"/>
    <tableColumn id="3" xr3:uid="{95E9AE4D-CD6C-4818-A349-8B4AC05A97DE}" name="Elapsed" dataDxfId="484">
      <calculatedColumnFormula>IF(OR(ISBLANK(Term2_Early_Dismissal_3[[#This Row],[Start]]),ISBLANK(Term2_Early_Dismissal_3[[#This Row],[End]])),"",(Term2_Early_Dismissal_3[[#This Row],[End]]-Term2_Early_Dismissal_3[[#This Row],[Start]])*1440)</calculatedColumnFormula>
    </tableColumn>
    <tableColumn id="5" xr3:uid="{BB777F62-0D8A-4D36-ADF9-6971DF167FF4}" name="Instructional Time" dataDxfId="483">
      <calculatedColumnFormula>IF(ISBLANK(Term2_Early_Dismissal_3[[#This Row],[Activity]]),"",IF(_xlfn.XLOOKUP(Term2_Early_Dismissal_3[[#This Row],[Activity]],Types_of_Activity[Type of Activity],Types_of_Activity[Classification])=1,Term2_Early_Dismissal_3[[#This Row],[Elapsed]],0))</calculatedColumnFormula>
    </tableColumn>
    <tableColumn id="6" xr3:uid="{6D81AAE0-6816-47E2-9493-93FE9F36CCC4}" name="Assigned Time (Non-Instructional)" dataDxfId="482">
      <calculatedColumnFormula>IF(ISBLANK(Term2_Early_Dismissal_3[[#This Row],[Activity]]),"",IF(_xlfn.XLOOKUP(Term2_Early_Dismissal_3[[#This Row],[Activity]],Types_of_Activity[Type of Activity],Types_of_Activity[Classification])=2,Term2_Early_Dismissal_3[[#This Row],[Elapsed]],0))</calculatedColumnFormula>
    </tableColumn>
  </tableColumns>
  <tableStyleInfo name="TableStyleMedium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A83075C-B06A-4850-AF39-5190A8CF98B7}" name="Term2_Day_7" displayName="Term2_Day_7" ref="AR17:AW50" totalsRowShown="0" headerRowDxfId="481" dataDxfId="480">
  <autoFilter ref="AR17:AW50" xr:uid="{1A83075C-B06A-4850-AF39-5190A8CF98B7}">
    <filterColumn colId="0" hiddenButton="1"/>
    <filterColumn colId="1" hiddenButton="1"/>
    <filterColumn colId="2" hiddenButton="1"/>
    <filterColumn colId="3" hiddenButton="1"/>
    <filterColumn colId="4" hiddenButton="1"/>
    <filterColumn colId="5" hiddenButton="1"/>
  </autoFilter>
  <tableColumns count="6">
    <tableColumn id="1" xr3:uid="{19DD7D3C-BB34-4982-9B75-5A567C4CC806}" name="Start" dataDxfId="479"/>
    <tableColumn id="2" xr3:uid="{B8E43CBD-1D97-44D3-9FA4-A6324540EF5B}" name="End" dataDxfId="478"/>
    <tableColumn id="4" xr3:uid="{81C7CEF1-B664-47C1-9F1F-D79623F6610C}" name="Activity" dataDxfId="477"/>
    <tableColumn id="3" xr3:uid="{7E5EDF5D-5179-421C-AAB1-EC6AD48DABF3}" name="Elapsed" dataDxfId="476">
      <calculatedColumnFormula>IF(OR(ISBLANK(Term2_Day_7[[#This Row],[Start]]),ISBLANK(Term2_Day_7[[#This Row],[End]])),"",(Term2_Day_7[[#This Row],[End]]-Term2_Day_7[[#This Row],[Start]])*1440)</calculatedColumnFormula>
    </tableColumn>
    <tableColumn id="5" xr3:uid="{1A42EE9F-46DF-4D1B-8986-3370E81D3AB3}" name="Instructional Time" dataDxfId="475">
      <calculatedColumnFormula>IF(ISBLANK(Term2_Day_7[[#This Row],[Activity]]),"",IF(_xlfn.XLOOKUP(Term2_Day_7[[#This Row],[Activity]],Types_of_Activity[Type of Activity],Types_of_Activity[Classification])=1,Term2_Day_7[[#This Row],[Elapsed]],0))</calculatedColumnFormula>
    </tableColumn>
    <tableColumn id="6" xr3:uid="{A32EB6DA-AD40-4B78-B74A-A7A7AA431C4F}" name="Assigned Time (Non-Instructional)" dataDxfId="474">
      <calculatedColumnFormula>IF(ISBLANK(Term2_Day_7[[#This Row],[Activity]]),"",IF(_xlfn.XLOOKUP(Term2_Day_7[[#This Row],[Activity]],Types_of_Activity[Type of Activity],Types_of_Activity[Classification])=2,Term2_Day_7[[#This Row],[Elapsed]],0))</calculatedColumnFormula>
    </tableColumn>
  </tableColumns>
  <tableStyleInfo name="TableStyleMedium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D799812B-23BB-4B71-818D-73F4044B3A1C}" name="Term2_Day_8" displayName="Term2_Day_8" ref="AY17:BD50" totalsRowShown="0" headerRowDxfId="473" dataDxfId="472">
  <autoFilter ref="AY17:BD50" xr:uid="{D799812B-23BB-4B71-818D-73F4044B3A1C}">
    <filterColumn colId="0" hiddenButton="1"/>
    <filterColumn colId="1" hiddenButton="1"/>
    <filterColumn colId="2" hiddenButton="1"/>
    <filterColumn colId="3" hiddenButton="1"/>
    <filterColumn colId="4" hiddenButton="1"/>
    <filterColumn colId="5" hiddenButton="1"/>
  </autoFilter>
  <tableColumns count="6">
    <tableColumn id="1" xr3:uid="{E28E74F4-9802-4E60-8DA7-684494595CE3}" name="Start" dataDxfId="471"/>
    <tableColumn id="2" xr3:uid="{73207271-C93B-47D7-9C26-7FDABD52D423}" name="End" dataDxfId="470"/>
    <tableColumn id="4" xr3:uid="{CB872A83-5F9B-4EC9-ADCF-55E61200D479}" name="Activity" dataDxfId="469"/>
    <tableColumn id="3" xr3:uid="{E0C9B3C8-23ED-4A2C-AABE-B21BBF9213A7}" name="Elapsed" dataDxfId="468">
      <calculatedColumnFormula>IF(OR(ISBLANK(Term2_Day_8[[#This Row],[Start]]),ISBLANK(Term2_Day_8[[#This Row],[End]])),"",(Term2_Day_8[[#This Row],[End]]-Term2_Day_8[[#This Row],[Start]])*1440)</calculatedColumnFormula>
    </tableColumn>
    <tableColumn id="5" xr3:uid="{25585D8B-B760-4281-B610-AD79D801DAC0}" name="Instructional Time" dataDxfId="467">
      <calculatedColumnFormula>IF(ISBLANK(Term2_Day_8[[#This Row],[Activity]]),"",IF(_xlfn.XLOOKUP(Term2_Day_8[[#This Row],[Activity]],Types_of_Activity[Type of Activity],Types_of_Activity[Classification])=1,Term2_Day_8[[#This Row],[Elapsed]],0))</calculatedColumnFormula>
    </tableColumn>
    <tableColumn id="6" xr3:uid="{E3D0581E-CC68-4789-A52F-156BB1DFF247}" name="Assigned Time (Non-Instructional)" dataDxfId="466">
      <calculatedColumnFormula>IF(ISBLANK(Term2_Day_8[[#This Row],[Activity]]),"",IF(_xlfn.XLOOKUP(Term2_Day_8[[#This Row],[Activity]],Types_of_Activity[Type of Activity],Types_of_Activity[Classification])=2,Term2_Day_8[[#This Row],[Elapsed]],0))</calculatedColumnFormula>
    </tableColumn>
  </tableColumns>
  <tableStyleInfo name="TableStyleMedium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331AD752-7286-4EFF-9A08-838E11CE7F74}" name="Term2_Day_9" displayName="Term2_Day_9" ref="BF17:BK50" totalsRowShown="0" headerRowDxfId="465" dataDxfId="464">
  <autoFilter ref="BF17:BK50" xr:uid="{331AD752-7286-4EFF-9A08-838E11CE7F74}">
    <filterColumn colId="0" hiddenButton="1"/>
    <filterColumn colId="1" hiddenButton="1"/>
    <filterColumn colId="2" hiddenButton="1"/>
    <filterColumn colId="3" hiddenButton="1"/>
    <filterColumn colId="4" hiddenButton="1"/>
    <filterColumn colId="5" hiddenButton="1"/>
  </autoFilter>
  <tableColumns count="6">
    <tableColumn id="1" xr3:uid="{71318B11-6816-4577-B54A-E534D9614BF0}" name="Start" dataDxfId="463"/>
    <tableColumn id="2" xr3:uid="{C3746E37-854F-461B-9253-08F58072DAE2}" name="End" dataDxfId="462"/>
    <tableColumn id="4" xr3:uid="{4FEA3510-BF33-43CB-8B4C-14A200BFD7EF}" name="Activity" dataDxfId="461"/>
    <tableColumn id="3" xr3:uid="{E5EC16A6-CE34-43CD-BBED-314F5F6A0204}" name="Elapsed" dataDxfId="460">
      <calculatedColumnFormula>IF(OR(ISBLANK(Term2_Day_9[[#This Row],[Start]]),ISBLANK(Term2_Day_9[[#This Row],[End]])),"",(Term2_Day_9[[#This Row],[End]]-Term2_Day_9[[#This Row],[Start]])*1440)</calculatedColumnFormula>
    </tableColumn>
    <tableColumn id="5" xr3:uid="{494C6B67-67E6-454F-B446-6B0959B7CD2C}" name="Instructional Time" dataDxfId="459">
      <calculatedColumnFormula>IF(ISBLANK(Term2_Day_9[[#This Row],[Activity]]),"",IF(_xlfn.XLOOKUP(Term2_Day_9[[#This Row],[Activity]],Types_of_Activity[Type of Activity],Types_of_Activity[Classification])=1,Term2_Day_9[[#This Row],[Elapsed]],0))</calculatedColumnFormula>
    </tableColumn>
    <tableColumn id="6" xr3:uid="{B62913B5-5D86-4753-8208-C95AAB158386}" name="Assigned Time (Non-Instructional)" dataDxfId="458">
      <calculatedColumnFormula>IF(ISBLANK(Term2_Day_9[[#This Row],[Activity]]),"",IF(_xlfn.XLOOKUP(Term2_Day_9[[#This Row],[Activity]],Types_of_Activity[Type of Activity],Types_of_Activity[Classification])=2,Term2_Day_9[[#This Row],[Elapsed]],0))</calculatedColumnFormula>
    </tableColumn>
  </tableColumns>
  <tableStyleInfo name="TableStyleMedium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778D9602-D2C2-4915-ADF1-81FC476F8AD6}" name="Term2_Early_Dismissal_4" displayName="Term2_Early_Dismissal_4" ref="W56:AB89" totalsRowShown="0" headerRowDxfId="457" dataDxfId="456">
  <autoFilter ref="W56:AB89" xr:uid="{778D9602-D2C2-4915-ADF1-81FC476F8AD6}">
    <filterColumn colId="0" hiddenButton="1"/>
    <filterColumn colId="1" hiddenButton="1"/>
    <filterColumn colId="2" hiddenButton="1"/>
    <filterColumn colId="3" hiddenButton="1"/>
    <filterColumn colId="4" hiddenButton="1"/>
    <filterColumn colId="5" hiddenButton="1"/>
  </autoFilter>
  <tableColumns count="6">
    <tableColumn id="1" xr3:uid="{97D9DB4B-AA9F-4FCF-B092-14B8BC65794E}" name="Start" dataDxfId="455"/>
    <tableColumn id="2" xr3:uid="{22D8D239-8B94-4BF5-A653-63075C39976E}" name="End" dataDxfId="454"/>
    <tableColumn id="4" xr3:uid="{34B596AB-CD1A-4D1E-B876-23E6FF0C3B92}" name="Activity" dataDxfId="453"/>
    <tableColumn id="3" xr3:uid="{3D341792-DCF2-40F6-AF21-72A3DA070E45}" name="Elapsed" dataDxfId="452">
      <calculatedColumnFormula>IF(OR(ISBLANK(Term2_Early_Dismissal_4[[#This Row],[Start]]),ISBLANK(Term2_Early_Dismissal_4[[#This Row],[End]])),"",(Term2_Early_Dismissal_4[[#This Row],[End]]-Term2_Early_Dismissal_4[[#This Row],[Start]])*1440)</calculatedColumnFormula>
    </tableColumn>
    <tableColumn id="5" xr3:uid="{7C1487B5-1D32-4FFD-89EF-6E22D063196B}" name="Instructional Time" dataDxfId="451">
      <calculatedColumnFormula>IF(ISBLANK(Term2_Early_Dismissal_4[[#This Row],[Activity]]),"",IF(_xlfn.XLOOKUP(Term2_Early_Dismissal_4[[#This Row],[Activity]],Types_of_Activity[Type of Activity],Types_of_Activity[Classification])=1,Term2_Early_Dismissal_4[[#This Row],[Elapsed]],0))</calculatedColumnFormula>
    </tableColumn>
    <tableColumn id="6" xr3:uid="{DAEF6319-096E-4EAA-B349-C1F1D648F72B}" name="Assigned Time (Non-Instructional)" dataDxfId="450">
      <calculatedColumnFormula>IF(ISBLANK(Term2_Early_Dismissal_4[[#This Row],[Activity]]),"",IF(_xlfn.XLOOKUP(Term2_Early_Dismissal_4[[#This Row],[Activity]],Types_of_Activity[Type of Activity],Types_of_Activity[Classification])=2,Term2_Early_Dismissal_4[[#This Row],[Elapsed]],0))</calculatedColumnFormula>
    </tableColumn>
  </tableColumns>
  <tableStyleInfo name="TableStyleMedium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CE09530-6F82-4912-902B-866F9D82DE9F}" name="Term2_Early_Dismissal_5" displayName="Term2_Early_Dismissal_5" ref="AD56:AI89" totalsRowShown="0" headerRowDxfId="449" dataDxfId="448">
  <autoFilter ref="AD56:AI89" xr:uid="{4CE09530-6F82-4912-902B-866F9D82DE9F}">
    <filterColumn colId="0" hiddenButton="1"/>
    <filterColumn colId="1" hiddenButton="1"/>
    <filterColumn colId="2" hiddenButton="1"/>
    <filterColumn colId="3" hiddenButton="1"/>
    <filterColumn colId="4" hiddenButton="1"/>
    <filterColumn colId="5" hiddenButton="1"/>
  </autoFilter>
  <tableColumns count="6">
    <tableColumn id="1" xr3:uid="{AC5BC0C3-FE8E-42BD-8AB3-5D4094577F7C}" name="Start" dataDxfId="447"/>
    <tableColumn id="2" xr3:uid="{2BB5286F-58B2-4ECE-90AC-A2372F0CAD84}" name="End" dataDxfId="446"/>
    <tableColumn id="4" xr3:uid="{DE2A0D75-878D-48B5-A532-2E538D47777C}" name="Activity" dataDxfId="445"/>
    <tableColumn id="3" xr3:uid="{91FAFA73-6FD8-42FE-8DD2-DCD3E5598ED8}" name="Elapsed" dataDxfId="444">
      <calculatedColumnFormula>IF(OR(ISBLANK(Term2_Early_Dismissal_5[[#This Row],[Start]]),ISBLANK(Term2_Early_Dismissal_5[[#This Row],[End]])),"",(Term2_Early_Dismissal_5[[#This Row],[End]]-Term2_Early_Dismissal_5[[#This Row],[Start]])*1440)</calculatedColumnFormula>
    </tableColumn>
    <tableColumn id="5" xr3:uid="{E31EBB0D-C13C-4099-B684-559BA5CCDA23}" name="Instructional Time" dataDxfId="443">
      <calculatedColumnFormula>IF(ISBLANK(Term2_Early_Dismissal_5[[#This Row],[Activity]]),"",IF(_xlfn.XLOOKUP(Term2_Early_Dismissal_5[[#This Row],[Activity]],Types_of_Activity[Type of Activity],Types_of_Activity[Classification])=1,Term2_Early_Dismissal_5[[#This Row],[Elapsed]],0))</calculatedColumnFormula>
    </tableColumn>
    <tableColumn id="6" xr3:uid="{2F83A9E7-552E-4789-BB68-14E56A4B1FD9}" name="Assigned Time (Non-Instructional)" dataDxfId="442">
      <calculatedColumnFormula>IF(ISBLANK(Term2_Early_Dismissal_5[[#This Row],[Activity]]),"",IF(_xlfn.XLOOKUP(Term2_Early_Dismissal_5[[#This Row],[Activity]],Types_of_Activity[Type of Activity],Types_of_Activity[Classification])=2,Term2_Early_Dismissal_5[[#This Row],[Elapsed]],0))</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B605DD-CBFF-41DB-AAB1-88D825550703}" name="Term1_Day_2" displayName="Term1_Day_2" ref="I17:N50" totalsRowShown="0" headerRowDxfId="729" dataDxfId="728">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6305336E-058D-4926-9ED1-9350B6428217}" name="Start" dataDxfId="727"/>
    <tableColumn id="2" xr3:uid="{1B31E791-1DED-4550-B5AC-8F2A66129043}" name="End" dataDxfId="726"/>
    <tableColumn id="4" xr3:uid="{DEF54CAB-F509-41B5-AEA9-E188267622D7}" name="Activity" dataDxfId="725"/>
    <tableColumn id="3" xr3:uid="{392AF11F-2E2A-4BCC-A22E-E8016620E4B9}" name="Elapsed" dataDxfId="724">
      <calculatedColumnFormula>IF(OR(ISBLANK(Term1_Day_2[[#This Row],[Start]]),ISBLANK(Term1_Day_2[[#This Row],[End]])),"",(Term1_Day_2[[#This Row],[End]]-Term1_Day_2[[#This Row],[Start]])*1440)</calculatedColumnFormula>
    </tableColumn>
    <tableColumn id="5" xr3:uid="{8F3F72F2-843F-4D88-B2E6-3DCFB7C4FEFC}" name="Instructional Time" dataDxfId="723">
      <calculatedColumnFormula>IF(ISBLANK(Term1_Day_2[[#This Row],[Activity]]),"",IF(_xlfn.XLOOKUP(Term1_Day_2[[#This Row],[Activity]],Types_of_Activity[Type of Activity],Types_of_Activity[Classification])=1,Term1_Day_2[[#This Row],[Elapsed]],0))</calculatedColumnFormula>
    </tableColumn>
    <tableColumn id="6" xr3:uid="{394F27B8-AD30-4001-B45D-74786472B89B}" name="Assigned Time (Non-Instructional)" dataDxfId="722">
      <calculatedColumnFormula>IF(ISBLANK(Term1_Day_2[[#This Row],[Activity]]),"",IF(_xlfn.XLOOKUP(Term1_Day_2[[#This Row],[Activity]],Types_of_Activity[Type of Activity],Types_of_Activity[Classification])=2,Term1_Day_2[[#This Row],[Elapsed]],0))</calculatedColumnFormula>
    </tableColumn>
  </tableColumns>
  <tableStyleInfo name="TableStyleMedium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446AF60D-BDAC-463B-85B3-4C166FFEFE97}" name="Term2_Early_Dismissal_6" displayName="Term2_Early_Dismissal_6" ref="AK56:AP89" totalsRowShown="0" headerRowDxfId="441" dataDxfId="440">
  <autoFilter ref="AK56:AP89" xr:uid="{446AF60D-BDAC-463B-85B3-4C166FFEFE97}">
    <filterColumn colId="0" hiddenButton="1"/>
    <filterColumn colId="1" hiddenButton="1"/>
    <filterColumn colId="2" hiddenButton="1"/>
    <filterColumn colId="3" hiddenButton="1"/>
    <filterColumn colId="4" hiddenButton="1"/>
    <filterColumn colId="5" hiddenButton="1"/>
  </autoFilter>
  <tableColumns count="6">
    <tableColumn id="1" xr3:uid="{90E4DD4E-32CF-4074-ACB0-594D87E260CC}" name="Start" dataDxfId="439"/>
    <tableColumn id="2" xr3:uid="{D33E54A6-E01B-4A3B-A8C3-90FE4C133E0C}" name="End" dataDxfId="438"/>
    <tableColumn id="4" xr3:uid="{142C59B9-A150-48A1-B2ED-A4ECC46A1583}" name="Activity" dataDxfId="437"/>
    <tableColumn id="3" xr3:uid="{76CB81CE-5669-47CA-9D91-8AD98E18FF73}" name="Elapsed" dataDxfId="436">
      <calculatedColumnFormula>IF(OR(ISBLANK(Term2_Early_Dismissal_6[[#This Row],[Start]]),ISBLANK(Term2_Early_Dismissal_6[[#This Row],[End]])),"",(Term2_Early_Dismissal_6[[#This Row],[End]]-Term2_Early_Dismissal_6[[#This Row],[Start]])*1440)</calculatedColumnFormula>
    </tableColumn>
    <tableColumn id="5" xr3:uid="{2990105E-9AD0-4B10-9136-14DBB3A761E8}" name="Instructional Time" dataDxfId="435">
      <calculatedColumnFormula>IF(ISBLANK(Term2_Early_Dismissal_6[[#This Row],[Activity]]),"",IF(_xlfn.XLOOKUP(Term2_Early_Dismissal_6[[#This Row],[Activity]],Types_of_Activity[Type of Activity],Types_of_Activity[Classification])=1,Term2_Early_Dismissal_6[[#This Row],[Elapsed]],0))</calculatedColumnFormula>
    </tableColumn>
    <tableColumn id="6" xr3:uid="{E262B49C-FFBC-42D2-828C-FEA74597627D}" name="Assigned Time (Non-Instructional)" dataDxfId="434">
      <calculatedColumnFormula>IF(ISBLANK(Term2_Early_Dismissal_6[[#This Row],[Activity]]),"",IF(_xlfn.XLOOKUP(Term2_Early_Dismissal_6[[#This Row],[Activity]],Types_of_Activity[Type of Activity],Types_of_Activity[Classification])=2,Term2_Early_Dismissal_6[[#This Row],[Elapsed]],0))</calculatedColumnFormula>
    </tableColumn>
  </tableColumns>
  <tableStyleInfo name="TableStyleMedium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C5469DC-20CF-4241-9F8F-6BD128F61FFD}" name="Term3_Day_1" displayName="Term3_Day_1" ref="B17:G50" totalsRowShown="0" headerRowDxfId="433" dataDxfId="432">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EDB0B9E3-25DE-4B8A-B431-870D38C76C96}" name="Start" dataDxfId="431"/>
    <tableColumn id="2" xr3:uid="{B9B89137-8CFC-4F53-91B1-5348F3E5AD5F}" name="End" dataDxfId="430"/>
    <tableColumn id="4" xr3:uid="{79E28F67-ABC2-4701-A46C-BDC25E7CDC8D}" name="Activity" dataDxfId="429"/>
    <tableColumn id="3" xr3:uid="{1027FC55-0218-4FB1-BD3C-49B9DEEABF78}" name="Elapsed" dataDxfId="428">
      <calculatedColumnFormula>IF(OR(ISBLANK(Term3_Day_1[[#This Row],[Start]]),ISBLANK(Term3_Day_1[[#This Row],[End]])),"",(Term3_Day_1[[#This Row],[End]]-Term3_Day_1[[#This Row],[Start]])*1440)</calculatedColumnFormula>
    </tableColumn>
    <tableColumn id="5" xr3:uid="{F55E5205-5688-467E-838D-E1163ADD402B}" name="Instructional Time" dataDxfId="427">
      <calculatedColumnFormula>IF(ISBLANK(Term3_Day_1[[#This Row],[Activity]]),"",IF(_xlfn.XLOOKUP(Term3_Day_1[[#This Row],[Activity]],Types_of_Activity[Type of Activity],Types_of_Activity[Classification])=1,Term3_Day_1[[#This Row],[Elapsed]],0))</calculatedColumnFormula>
    </tableColumn>
    <tableColumn id="6" xr3:uid="{1E4FF41D-1F9B-4D28-9861-CB1E32538167}" name="Assigned Time (Non-Instructional)" dataDxfId="426">
      <calculatedColumnFormula>IF(ISBLANK(Term3_Day_1[[#This Row],[Activity]]),"",IF(_xlfn.XLOOKUP(Term3_Day_1[[#This Row],[Activity]],Types_of_Activity[Type of Activity],Types_of_Activity[Classification])=2,Term3_Day_1[[#This Row],[Elapsed]],0))</calculatedColumnFormula>
    </tableColumn>
  </tableColumns>
  <tableStyleInfo name="TableStyleMedium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F814A34-D282-423C-8391-3AE865B4A73E}" name="Term3_Day_2" displayName="Term3_Day_2" ref="I17:N50" totalsRowShown="0" headerRowDxfId="425" dataDxfId="424">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21787C92-5AF6-467B-B072-BA3E48EDF27E}" name="Start" dataDxfId="423"/>
    <tableColumn id="2" xr3:uid="{027481C6-808B-477D-95E4-EEE7507A417C}" name="End" dataDxfId="422"/>
    <tableColumn id="4" xr3:uid="{5F611680-5D59-46AD-8687-782F388970F0}" name="Activity" dataDxfId="421"/>
    <tableColumn id="3" xr3:uid="{B8EACC22-7745-4372-AB73-39BC2AD477CD}" name="Elapsed" dataDxfId="420">
      <calculatedColumnFormula>IF(OR(ISBLANK(Term3_Day_2[[#This Row],[Start]]),ISBLANK(Term3_Day_2[[#This Row],[End]])),"",(Term3_Day_2[[#This Row],[End]]-Term3_Day_2[[#This Row],[Start]])*1440)</calculatedColumnFormula>
    </tableColumn>
    <tableColumn id="5" xr3:uid="{AFD464FB-3F6A-4792-9146-E6A6E84C0514}" name="Instructional Time" dataDxfId="419">
      <calculatedColumnFormula>IF(ISBLANK(Term3_Day_2[[#This Row],[Activity]]),"",IF(_xlfn.XLOOKUP(Term3_Day_2[[#This Row],[Activity]],Types_of_Activity[Type of Activity],Types_of_Activity[Classification])=1,Term3_Day_2[[#This Row],[Elapsed]],0))</calculatedColumnFormula>
    </tableColumn>
    <tableColumn id="6" xr3:uid="{DB04C9CF-BCE8-4113-B265-93DF39D83990}" name="Assigned Time (Non-Instructional)" dataDxfId="418">
      <calculatedColumnFormula>IF(ISBLANK(Term3_Day_2[[#This Row],[Activity]]),"",IF(_xlfn.XLOOKUP(Term3_Day_2[[#This Row],[Activity]],Types_of_Activity[Type of Activity],Types_of_Activity[Classification])=2,Term3_Day_2[[#This Row],[Elapsed]],0))</calculatedColumnFormula>
    </tableColumn>
  </tableColumns>
  <tableStyleInfo name="TableStyleMedium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B2D7761-F142-4EC2-A890-E92D8ACC6F5B}" name="Term3_Day_3" displayName="Term3_Day_3" ref="P17:U50" totalsRowShown="0" headerRowDxfId="417" dataDxfId="416">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F84EB729-E99E-4BDD-A8DE-78A4364C7608}" name="Start" dataDxfId="415"/>
    <tableColumn id="2" xr3:uid="{1428D8DA-7017-4B0B-A18F-19C07E68F9DB}" name="End" dataDxfId="414"/>
    <tableColumn id="4" xr3:uid="{ED4CB978-5072-4214-ACF2-6EC8BA67D8BB}" name="Activity" dataDxfId="413"/>
    <tableColumn id="3" xr3:uid="{3B8A87A5-69FE-4252-8819-07D0B9DFF4A9}" name="Elapsed" dataDxfId="412">
      <calculatedColumnFormula>IF(OR(ISBLANK(Term3_Day_3[[#This Row],[Start]]),ISBLANK(Term3_Day_3[[#This Row],[End]])),"",(Term3_Day_3[[#This Row],[End]]-Term3_Day_3[[#This Row],[Start]])*1440)</calculatedColumnFormula>
    </tableColumn>
    <tableColumn id="5" xr3:uid="{145BB7DD-0792-446A-B05C-83965D49B65F}" name="Instructional Time" dataDxfId="411">
      <calculatedColumnFormula>IF(ISBLANK(Term3_Day_3[[#This Row],[Activity]]),"",IF(_xlfn.XLOOKUP(Term3_Day_3[[#This Row],[Activity]],Types_of_Activity[Type of Activity],Types_of_Activity[Classification])=1,Term3_Day_3[[#This Row],[Elapsed]],0))</calculatedColumnFormula>
    </tableColumn>
    <tableColumn id="6" xr3:uid="{361ADD69-0842-4579-83FA-1A1BD5ED0892}" name="Assigned Time (Non-Instructional)" dataDxfId="410">
      <calculatedColumnFormula>IF(ISBLANK(Term3_Day_3[[#This Row],[Activity]]),"",IF(_xlfn.XLOOKUP(Term3_Day_3[[#This Row],[Activity]],Types_of_Activity[Type of Activity],Types_of_Activity[Classification])=2,Term3_Day_3[[#This Row],[Elapsed]],0))</calculatedColumnFormula>
    </tableColumn>
  </tableColumns>
  <tableStyleInfo name="TableStyleMedium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E003A32-FE58-466C-BB39-ED0B0044EA4B}" name="Term3_Day_4" displayName="Term3_Day_4" ref="W17:AB50" totalsRowShown="0" headerRowDxfId="409" dataDxfId="408">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B9C5669C-F79C-48E0-BB3B-38C7528AAF4A}" name="Start" dataDxfId="407"/>
    <tableColumn id="2" xr3:uid="{B5BC0360-3195-4B12-9DCE-6C719121B7BA}" name="End" dataDxfId="406"/>
    <tableColumn id="4" xr3:uid="{45F2E754-DA11-4992-BE42-3D3C31C9BF84}" name="Activity" dataDxfId="405"/>
    <tableColumn id="3" xr3:uid="{F7AD8F1D-194D-4661-AEF4-01E004DE98FB}" name="Elapsed" dataDxfId="404">
      <calculatedColumnFormula>IF(OR(ISBLANK(Term3_Day_4[[#This Row],[Start]]),ISBLANK(Term3_Day_4[[#This Row],[End]])),"",(Term3_Day_4[[#This Row],[End]]-Term3_Day_4[[#This Row],[Start]])*1440)</calculatedColumnFormula>
    </tableColumn>
    <tableColumn id="5" xr3:uid="{335C54A6-1DAA-4412-8777-4DE8D610F0F6}" name="Instructional Time" dataDxfId="403">
      <calculatedColumnFormula>IF(ISBLANK(Term3_Day_4[[#This Row],[Activity]]),"",IF(_xlfn.XLOOKUP(Term3_Day_4[[#This Row],[Activity]],Types_of_Activity[Type of Activity],Types_of_Activity[Classification])=1,Term3_Day_4[[#This Row],[Elapsed]],0))</calculatedColumnFormula>
    </tableColumn>
    <tableColumn id="6" xr3:uid="{81871E32-C0B3-4CBC-BCAB-6AEB857A2DDA}" name="Assigned Time (Non-Instructional)" dataDxfId="402">
      <calculatedColumnFormula>IF(ISBLANK(Term3_Day_4[[#This Row],[Activity]]),"",IF(_xlfn.XLOOKUP(Term3_Day_4[[#This Row],[Activity]],Types_of_Activity[Type of Activity],Types_of_Activity[Classification])=2,Term3_Day_4[[#This Row],[Elapsed]],0))</calculatedColumnFormula>
    </tableColumn>
  </tableColumns>
  <tableStyleInfo name="TableStyleMedium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85BFA4C-87ED-47F8-8426-2501F48E4034}" name="Term3_Day_5" displayName="Term3_Day_5" ref="AD17:AI50" totalsRowShown="0" headerRowDxfId="401" dataDxfId="400">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5EE3C3FD-3BA2-4DC0-98A7-33FE8D9F93B9}" name="Start" dataDxfId="399"/>
    <tableColumn id="2" xr3:uid="{848EC7A1-A382-4DFE-AAF6-B067F6FD4713}" name="End" dataDxfId="398"/>
    <tableColumn id="4" xr3:uid="{3E604C95-312E-49FD-9D40-3E00339CE66F}" name="Activity" dataDxfId="397"/>
    <tableColumn id="3" xr3:uid="{0DA93A49-F6C5-4A69-8CEB-CD67D8B60A00}" name="Elapsed" dataDxfId="396">
      <calculatedColumnFormula>IF(OR(ISBLANK(Term3_Day_5[[#This Row],[Start]]),ISBLANK(Term3_Day_5[[#This Row],[End]])),"",(Term3_Day_5[[#This Row],[End]]-Term3_Day_5[[#This Row],[Start]])*1440)</calculatedColumnFormula>
    </tableColumn>
    <tableColumn id="5" xr3:uid="{912E8747-7A31-4C2B-865F-2B9294B4C21A}" name="Instructional Time" dataDxfId="395">
      <calculatedColumnFormula>IF(ISBLANK(Term3_Day_5[[#This Row],[Activity]]),"",IF(_xlfn.XLOOKUP(Term3_Day_5[[#This Row],[Activity]],Types_of_Activity[Type of Activity],Types_of_Activity[Classification])=1,Term3_Day_5[[#This Row],[Elapsed]],0))</calculatedColumnFormula>
    </tableColumn>
    <tableColumn id="6" xr3:uid="{2C472B64-EE6E-4F73-992E-D27B396DB261}" name="Assigned Time (Non-Instructional)" dataDxfId="394">
      <calculatedColumnFormula>IF(ISBLANK(Term3_Day_5[[#This Row],[Activity]]),"",IF(_xlfn.XLOOKUP(Term3_Day_5[[#This Row],[Activity]],Types_of_Activity[Type of Activity],Types_of_Activity[Classification])=2,Term3_Day_5[[#This Row],[Elapsed]],0))</calculatedColumnFormula>
    </tableColumn>
  </tableColumns>
  <tableStyleInfo name="TableStyleMedium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63DA067-6C70-49B6-A5CF-C1D44ADBE301}" name="Term3_Day_6" displayName="Term3_Day_6" ref="AK17:AP50" totalsRowShown="0" headerRowDxfId="393" dataDxfId="392">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AD2EEAE7-25DF-49EE-92CE-AADD2C9FFA37}" name="Start" dataDxfId="391"/>
    <tableColumn id="2" xr3:uid="{B40AD160-8C5E-4F48-9340-6B9E5EE75157}" name="End" dataDxfId="390"/>
    <tableColumn id="4" xr3:uid="{80EE5928-7DDF-41FE-ADE0-337192002DB7}" name="Activity" dataDxfId="389"/>
    <tableColumn id="3" xr3:uid="{5D6382E2-B9BA-4D1D-8271-AEF12BF36428}" name="Elapsed" dataDxfId="388">
      <calculatedColumnFormula>IF(OR(ISBLANK(Term3_Day_6[[#This Row],[Start]]),ISBLANK(Term3_Day_6[[#This Row],[End]])),"",(Term3_Day_6[[#This Row],[End]]-Term3_Day_6[[#This Row],[Start]])*1440)</calculatedColumnFormula>
    </tableColumn>
    <tableColumn id="5" xr3:uid="{A209726D-F294-4CA2-BA11-D7A7F73F469D}" name="Instructional Time" dataDxfId="387">
      <calculatedColumnFormula>IF(ISBLANK(Term3_Day_6[[#This Row],[Activity]]),"",IF(_xlfn.XLOOKUP(Term3_Day_6[[#This Row],[Activity]],Types_of_Activity[Type of Activity],Types_of_Activity[Classification])=1,Term3_Day_6[[#This Row],[Elapsed]],0))</calculatedColumnFormula>
    </tableColumn>
    <tableColumn id="6" xr3:uid="{826A0ECF-DB2C-4C62-B88E-944D1F9F55DF}" name="Assigned Time (Non-Instructional)" dataDxfId="386">
      <calculatedColumnFormula>IF(ISBLANK(Term3_Day_6[[#This Row],[Activity]]),"",IF(_xlfn.XLOOKUP(Term3_Day_6[[#This Row],[Activity]],Types_of_Activity[Type of Activity],Types_of_Activity[Classification])=2,Term3_Day_6[[#This Row],[Elapsed]],0))</calculatedColumnFormula>
    </tableColumn>
  </tableColumns>
  <tableStyleInfo name="TableStyleMedium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DDD726A-7803-4676-B157-D1611D1092E3}" name="Term3_Day_10" displayName="Term3_Day_10" ref="BM17:BR50" totalsRowShown="0" headerRowDxfId="385" dataDxfId="384">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501B07A0-3E57-4274-A708-33578FF2A7EC}" name="Start" dataDxfId="383"/>
    <tableColumn id="2" xr3:uid="{2E8843B6-06AE-4DFE-81AC-1F0DD0A076A7}" name="End" dataDxfId="382"/>
    <tableColumn id="4" xr3:uid="{61C259DE-16A8-4BC8-B9FD-7C3A0FBBC5A0}" name="Activity" dataDxfId="381"/>
    <tableColumn id="3" xr3:uid="{B872D6D4-E4A5-49A0-8776-6A158739E3BE}" name="Elapsed" dataDxfId="380">
      <calculatedColumnFormula>IF(OR(ISBLANK(Term3_Day_10[[#This Row],[Start]]),ISBLANK(Term3_Day_10[[#This Row],[End]])),"",(Term3_Day_10[[#This Row],[End]]-Term3_Day_10[[#This Row],[Start]])*1440)</calculatedColumnFormula>
    </tableColumn>
    <tableColumn id="5" xr3:uid="{83FDCCFC-6107-4346-BF9B-232A068AB7A7}" name="Instructional Time" dataDxfId="379">
      <calculatedColumnFormula>IF(ISBLANK(Term3_Day_10[[#This Row],[Activity]]),"",IF(_xlfn.XLOOKUP(Term3_Day_10[[#This Row],[Activity]],Types_of_Activity[Type of Activity],Types_of_Activity[Classification])=1,Term3_Day_10[[#This Row],[Elapsed]],0))</calculatedColumnFormula>
    </tableColumn>
    <tableColumn id="6" xr3:uid="{A4453485-DA59-40B5-9A22-439FF073C047}" name="Assigned Time (Non-Instructional)" dataDxfId="378">
      <calculatedColumnFormula>IF(ISBLANK(Term3_Day_10[[#This Row],[Activity]]),"",IF(_xlfn.XLOOKUP(Term3_Day_10[[#This Row],[Activity]],Types_of_Activity[Type of Activity],Types_of_Activity[Classification])=2,Term3_Day_10[[#This Row],[Elapsed]],0))</calculatedColumnFormula>
    </tableColumn>
  </tableColumns>
  <tableStyleInfo name="TableStyleMedium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781AA1C-E9BF-49D1-AA98-DB3B2DDD9A69}" name="Term3_Early_Dismissal_1" displayName="Term3_Early_Dismissal_1" ref="B56:G89" totalsRowShown="0" headerRowDxfId="377" dataDxfId="376">
  <autoFilter ref="B56:G89" xr:uid="{7781AA1C-E9BF-49D1-AA98-DB3B2DDD9A69}">
    <filterColumn colId="0" hiddenButton="1"/>
    <filterColumn colId="1" hiddenButton="1"/>
    <filterColumn colId="2" hiddenButton="1"/>
    <filterColumn colId="3" hiddenButton="1"/>
    <filterColumn colId="4" hiddenButton="1"/>
    <filterColumn colId="5" hiddenButton="1"/>
  </autoFilter>
  <tableColumns count="6">
    <tableColumn id="1" xr3:uid="{92F9B00F-E9B5-493F-AA34-F9959493AB70}" name="Start" dataDxfId="375"/>
    <tableColumn id="2" xr3:uid="{EA65AD24-5B14-4357-AD81-C74033693134}" name="End" dataDxfId="374"/>
    <tableColumn id="4" xr3:uid="{F3FF3153-A2CE-44C1-A073-77080B862CB4}" name="Activity" dataDxfId="373"/>
    <tableColumn id="3" xr3:uid="{3847BA0A-6F11-4F43-8057-4BDDB3B368B8}" name="Elapsed" dataDxfId="372">
      <calculatedColumnFormula>IF(OR(ISBLANK(Term3_Early_Dismissal_1[[#This Row],[Start]]),ISBLANK(Term3_Early_Dismissal_1[[#This Row],[End]])),"",(Term3_Early_Dismissal_1[[#This Row],[End]]-Term3_Early_Dismissal_1[[#This Row],[Start]])*1440)</calculatedColumnFormula>
    </tableColumn>
    <tableColumn id="5" xr3:uid="{EAB561A5-E033-4E25-9F85-6202D5D01541}" name="Instructional Time" dataDxfId="371">
      <calculatedColumnFormula>IF(ISBLANK(Term3_Early_Dismissal_1[[#This Row],[Activity]]),"",IF(_xlfn.XLOOKUP(Term3_Early_Dismissal_1[[#This Row],[Activity]],Types_of_Activity[Type of Activity],Types_of_Activity[Classification])=1,Term3_Early_Dismissal_1[[#This Row],[Elapsed]],0))</calculatedColumnFormula>
    </tableColumn>
    <tableColumn id="6" xr3:uid="{492CC933-FFA0-4E26-BF67-E90BBD8B82E3}" name="Assigned Time (Non-Instructional)" dataDxfId="370">
      <calculatedColumnFormula>IF(ISBLANK(Term3_Early_Dismissal_1[[#This Row],[Activity]]),"",IF(_xlfn.XLOOKUP(Term3_Early_Dismissal_1[[#This Row],[Activity]],Types_of_Activity[Type of Activity],Types_of_Activity[Classification])=2,Term3_Early_Dismissal_1[[#This Row],[Elapsed]],0))</calculatedColumnFormula>
    </tableColumn>
  </tableColumns>
  <tableStyleInfo name="TableStyleMedium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322CE0F-DF4A-4776-885F-DF20A8CFD813}" name="Term3_Early_Dismissal_2" displayName="Term3_Early_Dismissal_2" ref="I56:N89" totalsRowShown="0" headerRowDxfId="369" dataDxfId="368">
  <autoFilter ref="I56:N89" xr:uid="{A322CE0F-DF4A-4776-885F-DF20A8CFD813}">
    <filterColumn colId="0" hiddenButton="1"/>
    <filterColumn colId="1" hiddenButton="1"/>
    <filterColumn colId="2" hiddenButton="1"/>
    <filterColumn colId="3" hiddenButton="1"/>
    <filterColumn colId="4" hiddenButton="1"/>
    <filterColumn colId="5" hiddenButton="1"/>
  </autoFilter>
  <tableColumns count="6">
    <tableColumn id="1" xr3:uid="{0EC2293E-64D2-44C1-B43A-12BD54283BE3}" name="Start" dataDxfId="367"/>
    <tableColumn id="2" xr3:uid="{2F1BB871-20C0-493E-A9CF-78EB9AA472BE}" name="End" dataDxfId="366"/>
    <tableColumn id="4" xr3:uid="{BB58115C-BF90-4EA5-B8C7-853449C04E69}" name="Activity" dataDxfId="365"/>
    <tableColumn id="3" xr3:uid="{25EBCA3B-0BC6-4645-BB96-BBD89C3C5619}" name="Elapsed" dataDxfId="364">
      <calculatedColumnFormula>IF(OR(ISBLANK(Term3_Early_Dismissal_2[[#This Row],[Start]]),ISBLANK(Term3_Early_Dismissal_2[[#This Row],[End]])),"",(Term3_Early_Dismissal_2[[#This Row],[End]]-Term3_Early_Dismissal_2[[#This Row],[Start]])*1440)</calculatedColumnFormula>
    </tableColumn>
    <tableColumn id="5" xr3:uid="{505852F2-2A50-4DC3-A966-14634AD084B6}" name="Instructional Time" dataDxfId="363">
      <calculatedColumnFormula>IF(ISBLANK(Term3_Early_Dismissal_2[[#This Row],[Activity]]),"",IF(_xlfn.XLOOKUP(Term3_Early_Dismissal_2[[#This Row],[Activity]],Types_of_Activity[Type of Activity],Types_of_Activity[Classification])=1,Term3_Early_Dismissal_2[[#This Row],[Elapsed]],0))</calculatedColumnFormula>
    </tableColumn>
    <tableColumn id="6" xr3:uid="{82628F9B-A0E9-4106-B893-259399B70463}" name="Assigned Time (Non-Instructional)" dataDxfId="362">
      <calculatedColumnFormula>IF(ISBLANK(Term3_Early_Dismissal_2[[#This Row],[Activity]]),"",IF(_xlfn.XLOOKUP(Term3_Early_Dismissal_2[[#This Row],[Activity]],Types_of_Activity[Type of Activity],Types_of_Activity[Classification])=2,Term3_Early_Dismissal_2[[#This Row],[Elapsed]],0))</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5552C8D-A374-464F-9A16-AA32C6A4F329}" name="Term1_Day_3" displayName="Term1_Day_3" ref="P17:U50" totalsRowShown="0" headerRowDxfId="721" dataDxfId="720">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7FCFA3E0-1E45-4338-8E1F-F0A27EEE4648}" name="Start" dataDxfId="719"/>
    <tableColumn id="2" xr3:uid="{9219D9CE-63A5-4037-9038-9EA5A8569538}" name="End" dataDxfId="718"/>
    <tableColumn id="4" xr3:uid="{1EA6C84A-AC00-4C2D-A4F3-C1EBC3055BA1}" name="Activity" dataDxfId="717"/>
    <tableColumn id="3" xr3:uid="{BEFB152F-A5FC-404B-874B-5B865A6B0139}" name="Elapsed" dataDxfId="716">
      <calculatedColumnFormula>IF(OR(ISBLANK(Term1_Day_3[[#This Row],[Start]]),ISBLANK(Term1_Day_3[[#This Row],[End]])),"",(Term1_Day_3[[#This Row],[End]]-Term1_Day_3[[#This Row],[Start]])*1440)</calculatedColumnFormula>
    </tableColumn>
    <tableColumn id="5" xr3:uid="{5278934E-8FAA-4908-9EDB-9EEC9978C2A3}" name="Instructional Time" dataDxfId="715">
      <calculatedColumnFormula>IF(ISBLANK(Term1_Day_3[[#This Row],[Activity]]),"",IF(_xlfn.XLOOKUP(Term1_Day_3[[#This Row],[Activity]],Types_of_Activity[Type of Activity],Types_of_Activity[Classification])=1,Term1_Day_3[[#This Row],[Elapsed]],0))</calculatedColumnFormula>
    </tableColumn>
    <tableColumn id="6" xr3:uid="{D236A4A0-DF8D-48E8-AF06-5B674D3E048B}" name="Assigned Time (Non-Instructional)" dataDxfId="714">
      <calculatedColumnFormula>IF(ISBLANK(Term1_Day_3[[#This Row],[Activity]]),"",IF(_xlfn.XLOOKUP(Term1_Day_3[[#This Row],[Activity]],Types_of_Activity[Type of Activity],Types_of_Activity[Classification])=2,Term1_Day_3[[#This Row],[Elapsed]],0))</calculatedColumnFormula>
    </tableColumn>
  </tableColumns>
  <tableStyleInfo name="TableStyleMedium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4484B58-23AE-4A22-80AD-62CF0514380D}" name="Term3_Special_Day_1" displayName="Term3_Special_Day_1" ref="B98:G131" totalsRowShown="0" headerRowDxfId="361" dataDxfId="360">
  <autoFilter ref="B98:G131" xr:uid="{24484B58-23AE-4A22-80AD-62CF0514380D}">
    <filterColumn colId="0" hiddenButton="1"/>
    <filterColumn colId="1" hiddenButton="1"/>
    <filterColumn colId="2" hiddenButton="1"/>
    <filterColumn colId="3" hiddenButton="1"/>
    <filterColumn colId="4" hiddenButton="1"/>
    <filterColumn colId="5" hiddenButton="1"/>
  </autoFilter>
  <tableColumns count="6">
    <tableColumn id="1" xr3:uid="{A3520E56-55F5-42F9-BE5E-E4F619C893EB}" name="Start" dataDxfId="359"/>
    <tableColumn id="2" xr3:uid="{7A0FB7E7-5292-42BE-AF21-8A4EAE012973}" name="End" dataDxfId="358"/>
    <tableColumn id="4" xr3:uid="{EE820A31-6585-4337-8247-3C8533E990B3}" name="Activity" dataDxfId="357"/>
    <tableColumn id="3" xr3:uid="{D05FC5E8-A578-4496-BB37-A2663836DD20}" name="Elapsed" dataDxfId="356">
      <calculatedColumnFormula>IF(OR(ISBLANK(Term3_Special_Day_1[[#This Row],[Start]]),ISBLANK(Term3_Special_Day_1[[#This Row],[End]])),"",(Term3_Special_Day_1[[#This Row],[End]]-Term3_Special_Day_1[[#This Row],[Start]])*1440)</calculatedColumnFormula>
    </tableColumn>
    <tableColumn id="5" xr3:uid="{0161CFBC-7738-40E6-AF85-1570D138CDAC}" name="Instructional Time" dataDxfId="355">
      <calculatedColumnFormula>IF(ISBLANK(Term3_Special_Day_1[[#This Row],[Activity]]),"",IF(_xlfn.XLOOKUP(Term3_Special_Day_1[[#This Row],[Activity]],Types_of_Activity[Type of Activity],Types_of_Activity[Classification])=1,Term3_Special_Day_1[[#This Row],[Elapsed]],0))</calculatedColumnFormula>
    </tableColumn>
    <tableColumn id="6" xr3:uid="{2794E5FF-7464-4C7C-BBFC-04ED4B0A3B95}" name="Assigned Time (Non-Instructional)" dataDxfId="354">
      <calculatedColumnFormula>IF(ISBLANK(Term3_Special_Day_1[[#This Row],[Activity]]),"",IF(_xlfn.XLOOKUP(Term3_Special_Day_1[[#This Row],[Activity]],Types_of_Activity[Type of Activity],Types_of_Activity[Classification])=2,Term3_Special_Day_1[[#This Row],[Elapsed]],0))</calculatedColumnFormula>
    </tableColumn>
  </tableColumns>
  <tableStyleInfo name="TableStyleMedium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40E8B507-3C4C-48F5-863E-9011C9B3A23F}" name="Term3_Special_Day_2" displayName="Term3_Special_Day_2" ref="I98:N131" totalsRowShown="0" headerRowDxfId="353" dataDxfId="352">
  <autoFilter ref="I98:N131" xr:uid="{40E8B507-3C4C-48F5-863E-9011C9B3A23F}">
    <filterColumn colId="0" hiddenButton="1"/>
    <filterColumn colId="1" hiddenButton="1"/>
    <filterColumn colId="2" hiddenButton="1"/>
    <filterColumn colId="3" hiddenButton="1"/>
    <filterColumn colId="4" hiddenButton="1"/>
    <filterColumn colId="5" hiddenButton="1"/>
  </autoFilter>
  <tableColumns count="6">
    <tableColumn id="1" xr3:uid="{6CAFFB51-CD2E-4EE5-B7FC-4189845CC820}" name="Start" dataDxfId="351"/>
    <tableColumn id="2" xr3:uid="{63F3D8D5-7A65-4B30-9CD9-4CDFC936E91D}" name="End" dataDxfId="350"/>
    <tableColumn id="4" xr3:uid="{FF033A7F-D68D-4125-AE98-22FA384869AC}" name="Activity" dataDxfId="349"/>
    <tableColumn id="3" xr3:uid="{0481A9CE-3F26-48C6-99DF-2AEB20F83829}" name="Elapsed" dataDxfId="348">
      <calculatedColumnFormula>IF(OR(ISBLANK(Term3_Special_Day_2[[#This Row],[Start]]),ISBLANK(Term3_Special_Day_2[[#This Row],[End]])),"",(Term3_Special_Day_2[[#This Row],[End]]-Term3_Special_Day_2[[#This Row],[Start]])*1440)</calculatedColumnFormula>
    </tableColumn>
    <tableColumn id="5" xr3:uid="{AADC71FD-3121-4888-8E0D-F7B2533A3800}" name="Instructional Time" dataDxfId="347">
      <calculatedColumnFormula>IF(ISBLANK(Term3_Special_Day_2[[#This Row],[Activity]]),"",IF(_xlfn.XLOOKUP(Term3_Special_Day_2[[#This Row],[Activity]],Types_of_Activity[Type of Activity],Types_of_Activity[Classification])=1,Term3_Special_Day_2[[#This Row],[Elapsed]],0))</calculatedColumnFormula>
    </tableColumn>
    <tableColumn id="6" xr3:uid="{A9F9F0DC-0B42-4AE0-B1A8-EADD9E1E3105}" name="Assigned Time (Non-Instructional)" dataDxfId="346">
      <calculatedColumnFormula>IF(ISBLANK(Term3_Special_Day_2[[#This Row],[Activity]]),"",IF(_xlfn.XLOOKUP(Term3_Special_Day_2[[#This Row],[Activity]],Types_of_Activity[Type of Activity],Types_of_Activity[Classification])=2,Term3_Special_Day_2[[#This Row],[Elapsed]],0))</calculatedColumnFormula>
    </tableColumn>
  </tableColumns>
  <tableStyleInfo name="TableStyleMedium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D39A76E-6C18-42B9-A720-1FACE88C314F}" name="Term3_Special_Day_3" displayName="Term3_Special_Day_3" ref="P98:U131" totalsRowShown="0" headerRowDxfId="345" dataDxfId="344">
  <autoFilter ref="P98:U131" xr:uid="{BD39A76E-6C18-42B9-A720-1FACE88C314F}">
    <filterColumn colId="0" hiddenButton="1"/>
    <filterColumn colId="1" hiddenButton="1"/>
    <filterColumn colId="2" hiddenButton="1"/>
    <filterColumn colId="3" hiddenButton="1"/>
    <filterColumn colId="4" hiddenButton="1"/>
    <filterColumn colId="5" hiddenButton="1"/>
  </autoFilter>
  <tableColumns count="6">
    <tableColumn id="1" xr3:uid="{C4C7CF4A-A769-4C58-A2D9-1990EABAF5CB}" name="Start" dataDxfId="343"/>
    <tableColumn id="2" xr3:uid="{03F896A0-1788-4B21-B42E-390D374083B8}" name="End" dataDxfId="342"/>
    <tableColumn id="4" xr3:uid="{7BD936E8-06E1-4C4D-8119-F94BDBAF97EF}" name="Activity" dataDxfId="341"/>
    <tableColumn id="3" xr3:uid="{74AE980B-971E-440E-9DC8-0A3D1051885A}" name="Elapsed" dataDxfId="340">
      <calculatedColumnFormula>IF(OR(ISBLANK(Term3_Special_Day_3[[#This Row],[Start]]),ISBLANK(Term3_Special_Day_3[[#This Row],[End]])),"",(Term3_Special_Day_3[[#This Row],[End]]-Term3_Special_Day_3[[#This Row],[Start]])*1440)</calculatedColumnFormula>
    </tableColumn>
    <tableColumn id="5" xr3:uid="{D84C073F-6965-4ACE-8487-F21A5C7231DA}" name="Instructional Time" dataDxfId="339">
      <calculatedColumnFormula>IF(ISBLANK(Term3_Special_Day_3[[#This Row],[Activity]]),"",IF(_xlfn.XLOOKUP(Term3_Special_Day_3[[#This Row],[Activity]],Types_of_Activity[Type of Activity],Types_of_Activity[Classification])=1,Term3_Special_Day_3[[#This Row],[Elapsed]],0))</calculatedColumnFormula>
    </tableColumn>
    <tableColumn id="6" xr3:uid="{4B3B6140-337E-4C41-B3ED-8205E3E42F43}" name="Assigned Time (Non-Instructional)" dataDxfId="338">
      <calculatedColumnFormula>IF(ISBLANK(Term3_Special_Day_3[[#This Row],[Activity]]),"",IF(_xlfn.XLOOKUP(Term3_Special_Day_3[[#This Row],[Activity]],Types_of_Activity[Type of Activity],Types_of_Activity[Classification])=2,Term3_Special_Day_3[[#This Row],[Elapsed]],0))</calculatedColumnFormula>
    </tableColumn>
  </tableColumns>
  <tableStyleInfo name="TableStyleMedium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7DDE619-608F-4ED6-A808-77E9BE73D5F6}" name="Term3_Early_Dismissal_3" displayName="Term3_Early_Dismissal_3" ref="P56:U89" totalsRowShown="0" headerRowDxfId="337" dataDxfId="336">
  <autoFilter ref="P56:U89" xr:uid="{47DDE619-608F-4ED6-A808-77E9BE73D5F6}">
    <filterColumn colId="0" hiddenButton="1"/>
    <filterColumn colId="1" hiddenButton="1"/>
    <filterColumn colId="2" hiddenButton="1"/>
    <filterColumn colId="3" hiddenButton="1"/>
    <filterColumn colId="4" hiddenButton="1"/>
    <filterColumn colId="5" hiddenButton="1"/>
  </autoFilter>
  <tableColumns count="6">
    <tableColumn id="1" xr3:uid="{61BC4EB5-78D5-4789-86CA-05344A8F46FF}" name="Start" dataDxfId="335"/>
    <tableColumn id="2" xr3:uid="{59DD13D2-AF93-42BF-8ED0-9B7992866406}" name="End" dataDxfId="334"/>
    <tableColumn id="4" xr3:uid="{863C3555-EB11-4D65-8F8F-4879E3190537}" name="Activity" dataDxfId="333"/>
    <tableColumn id="3" xr3:uid="{490F0A2B-9BB8-4157-882A-C03D20590EFF}" name="Elapsed" dataDxfId="332">
      <calculatedColumnFormula>IF(OR(ISBLANK(Term3_Early_Dismissal_3[[#This Row],[Start]]),ISBLANK(Term3_Early_Dismissal_3[[#This Row],[End]])),"",(Term3_Early_Dismissal_3[[#This Row],[End]]-Term3_Early_Dismissal_3[[#This Row],[Start]])*1440)</calculatedColumnFormula>
    </tableColumn>
    <tableColumn id="5" xr3:uid="{8236B088-451C-48B8-9909-946B6BA18465}" name="Instructional Time" dataDxfId="331">
      <calculatedColumnFormula>IF(ISBLANK(Term3_Early_Dismissal_3[[#This Row],[Activity]]),"",IF(_xlfn.XLOOKUP(Term3_Early_Dismissal_3[[#This Row],[Activity]],Types_of_Activity[Type of Activity],Types_of_Activity[Classification])=1,Term3_Early_Dismissal_3[[#This Row],[Elapsed]],0))</calculatedColumnFormula>
    </tableColumn>
    <tableColumn id="6" xr3:uid="{147F4F36-6D62-4813-B6A9-440C80048B27}" name="Assigned Time (Non-Instructional)" dataDxfId="330">
      <calculatedColumnFormula>IF(ISBLANK(Term3_Early_Dismissal_3[[#This Row],[Activity]]),"",IF(_xlfn.XLOOKUP(Term3_Early_Dismissal_3[[#This Row],[Activity]],Types_of_Activity[Type of Activity],Types_of_Activity[Classification])=2,Term3_Early_Dismissal_3[[#This Row],[Elapsed]],0))</calculatedColumnFormula>
    </tableColumn>
  </tableColumns>
  <tableStyleInfo name="TableStyleMedium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14CDD264-6536-43FD-9D7B-BD23472A1A17}" name="Term3_Day_7" displayName="Term3_Day_7" ref="AR17:AW50" totalsRowShown="0" headerRowDxfId="329" dataDxfId="328">
  <autoFilter ref="AR17:AW50" xr:uid="{14CDD264-6536-43FD-9D7B-BD23472A1A17}">
    <filterColumn colId="0" hiddenButton="1"/>
    <filterColumn colId="1" hiddenButton="1"/>
    <filterColumn colId="2" hiddenButton="1"/>
    <filterColumn colId="3" hiddenButton="1"/>
    <filterColumn colId="4" hiddenButton="1"/>
    <filterColumn colId="5" hiddenButton="1"/>
  </autoFilter>
  <tableColumns count="6">
    <tableColumn id="1" xr3:uid="{83E6DD99-AB5C-4CB8-9FD0-FF09FEE518CE}" name="Start" dataDxfId="327"/>
    <tableColumn id="2" xr3:uid="{8F1D7DC0-6B3F-468B-A00A-D9499E53D7F2}" name="End" dataDxfId="326"/>
    <tableColumn id="4" xr3:uid="{A830CDAC-2103-4252-AE99-BDCBBC83824E}" name="Activity" dataDxfId="325"/>
    <tableColumn id="3" xr3:uid="{B3F080A0-F664-453B-A6B7-3CE978B3ADCB}" name="Elapsed" dataDxfId="324">
      <calculatedColumnFormula>IF(OR(ISBLANK(Term3_Day_7[[#This Row],[Start]]),ISBLANK(Term3_Day_7[[#This Row],[End]])),"",(Term3_Day_7[[#This Row],[End]]-Term3_Day_7[[#This Row],[Start]])*1440)</calculatedColumnFormula>
    </tableColumn>
    <tableColumn id="5" xr3:uid="{59B52BC2-9A4E-4786-872F-464590C1BDA3}" name="Instructional Time" dataDxfId="323">
      <calculatedColumnFormula>IF(ISBLANK(Term3_Day_7[[#This Row],[Activity]]),"",IF(_xlfn.XLOOKUP(Term3_Day_7[[#This Row],[Activity]],Types_of_Activity[Type of Activity],Types_of_Activity[Classification])=1,Term3_Day_7[[#This Row],[Elapsed]],0))</calculatedColumnFormula>
    </tableColumn>
    <tableColumn id="6" xr3:uid="{B982DAC9-4FDD-4EEA-98AA-722C8D7DD339}" name="Assigned Time (Non-Instructional)" dataDxfId="322">
      <calculatedColumnFormula>IF(ISBLANK(Term3_Day_7[[#This Row],[Activity]]),"",IF(_xlfn.XLOOKUP(Term3_Day_7[[#This Row],[Activity]],Types_of_Activity[Type of Activity],Types_of_Activity[Classification])=2,Term3_Day_7[[#This Row],[Elapsed]],0))</calculatedColumnFormula>
    </tableColumn>
  </tableColumns>
  <tableStyleInfo name="TableStyleMedium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71D7209-1424-4C6A-80C3-4DE9611CC849}" name="Term3_Day_8" displayName="Term3_Day_8" ref="AY17:BD50" totalsRowShown="0" headerRowDxfId="321" dataDxfId="320">
  <autoFilter ref="AY17:BD50" xr:uid="{071D7209-1424-4C6A-80C3-4DE9611CC849}">
    <filterColumn colId="0" hiddenButton="1"/>
    <filterColumn colId="1" hiddenButton="1"/>
    <filterColumn colId="2" hiddenButton="1"/>
    <filterColumn colId="3" hiddenButton="1"/>
    <filterColumn colId="4" hiddenButton="1"/>
    <filterColumn colId="5" hiddenButton="1"/>
  </autoFilter>
  <tableColumns count="6">
    <tableColumn id="1" xr3:uid="{3C09ED0D-A6D3-48DE-8625-948A6CB550F4}" name="Start" dataDxfId="319"/>
    <tableColumn id="2" xr3:uid="{50BD227A-3F67-4A25-97BC-CED2656AA4F7}" name="End" dataDxfId="318"/>
    <tableColumn id="4" xr3:uid="{19A86368-E224-4856-A1A1-3C2AAAA6C08E}" name="Activity" dataDxfId="317"/>
    <tableColumn id="3" xr3:uid="{1F277888-6AEB-4769-91C3-1AD5C5D3F596}" name="Elapsed" dataDxfId="316">
      <calculatedColumnFormula>IF(OR(ISBLANK(Term3_Day_8[[#This Row],[Start]]),ISBLANK(Term3_Day_8[[#This Row],[End]])),"",(Term3_Day_8[[#This Row],[End]]-Term3_Day_8[[#This Row],[Start]])*1440)</calculatedColumnFormula>
    </tableColumn>
    <tableColumn id="5" xr3:uid="{2112893D-9D1D-4528-9669-80C8B5CC38F6}" name="Instructional Time" dataDxfId="315">
      <calculatedColumnFormula>IF(ISBLANK(Term3_Day_8[[#This Row],[Activity]]),"",IF(_xlfn.XLOOKUP(Term3_Day_8[[#This Row],[Activity]],Types_of_Activity[Type of Activity],Types_of_Activity[Classification])=1,Term3_Day_8[[#This Row],[Elapsed]],0))</calculatedColumnFormula>
    </tableColumn>
    <tableColumn id="6" xr3:uid="{E1A74FFF-1D9F-4CF1-8B99-CCDAE1F00722}" name="Assigned Time (Non-Instructional)" dataDxfId="314">
      <calculatedColumnFormula>IF(ISBLANK(Term3_Day_8[[#This Row],[Activity]]),"",IF(_xlfn.XLOOKUP(Term3_Day_8[[#This Row],[Activity]],Types_of_Activity[Type of Activity],Types_of_Activity[Classification])=2,Term3_Day_8[[#This Row],[Elapsed]],0))</calculatedColumnFormula>
    </tableColumn>
  </tableColumns>
  <tableStyleInfo name="TableStyleMedium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6326F9D-D5DC-4D43-92A7-515BE4AA5F12}" name="Term3_Day_9" displayName="Term3_Day_9" ref="BF17:BK50" totalsRowShown="0" headerRowDxfId="313" dataDxfId="312">
  <autoFilter ref="BF17:BK50" xr:uid="{96326F9D-D5DC-4D43-92A7-515BE4AA5F12}">
    <filterColumn colId="0" hiddenButton="1"/>
    <filterColumn colId="1" hiddenButton="1"/>
    <filterColumn colId="2" hiddenButton="1"/>
    <filterColumn colId="3" hiddenButton="1"/>
    <filterColumn colId="4" hiddenButton="1"/>
    <filterColumn colId="5" hiddenButton="1"/>
  </autoFilter>
  <tableColumns count="6">
    <tableColumn id="1" xr3:uid="{EFD75DAF-F66A-4BD2-827C-870B64EF39BF}" name="Start" dataDxfId="311"/>
    <tableColumn id="2" xr3:uid="{0FE9D3C2-63EF-4854-96C1-469C65AC9636}" name="End" dataDxfId="310"/>
    <tableColumn id="4" xr3:uid="{023DDACB-2E26-4063-801D-0A301958120B}" name="Activity" dataDxfId="309"/>
    <tableColumn id="3" xr3:uid="{2FA8CF55-BD2C-4E73-AFF2-728F311CDEC7}" name="Elapsed" dataDxfId="308">
      <calculatedColumnFormula>IF(OR(ISBLANK(Term3_Day_9[[#This Row],[Start]]),ISBLANK(Term3_Day_9[[#This Row],[End]])),"",(Term3_Day_9[[#This Row],[End]]-Term3_Day_9[[#This Row],[Start]])*1440)</calculatedColumnFormula>
    </tableColumn>
    <tableColumn id="5" xr3:uid="{73D323B6-751F-4702-8F86-394BD370A812}" name="Instructional Time" dataDxfId="307">
      <calculatedColumnFormula>IF(ISBLANK(Term3_Day_9[[#This Row],[Activity]]),"",IF(_xlfn.XLOOKUP(Term3_Day_9[[#This Row],[Activity]],Types_of_Activity[Type of Activity],Types_of_Activity[Classification])=1,Term3_Day_9[[#This Row],[Elapsed]],0))</calculatedColumnFormula>
    </tableColumn>
    <tableColumn id="6" xr3:uid="{ACB38047-D3BC-4D2A-B1EF-F53945474B9C}" name="Assigned Time (Non-Instructional)" dataDxfId="306">
      <calculatedColumnFormula>IF(ISBLANK(Term3_Day_9[[#This Row],[Activity]]),"",IF(_xlfn.XLOOKUP(Term3_Day_9[[#This Row],[Activity]],Types_of_Activity[Type of Activity],Types_of_Activity[Classification])=2,Term3_Day_9[[#This Row],[Elapsed]],0))</calculatedColumnFormula>
    </tableColumn>
  </tableColumns>
  <tableStyleInfo name="TableStyleMedium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E420AD55-B4F9-4C1C-806A-64EB5DAC0FE7}" name="Term3_Early_Dismissal_4" displayName="Term3_Early_Dismissal_4" ref="W56:AB89" totalsRowShown="0" headerRowDxfId="305" dataDxfId="304">
  <autoFilter ref="W56:AB89" xr:uid="{E420AD55-B4F9-4C1C-806A-64EB5DAC0FE7}">
    <filterColumn colId="0" hiddenButton="1"/>
    <filterColumn colId="1" hiddenButton="1"/>
    <filterColumn colId="2" hiddenButton="1"/>
    <filterColumn colId="3" hiddenButton="1"/>
    <filterColumn colId="4" hiddenButton="1"/>
    <filterColumn colId="5" hiddenButton="1"/>
  </autoFilter>
  <tableColumns count="6">
    <tableColumn id="1" xr3:uid="{B831BE5D-0D8E-4583-A078-3F094F3FA2A7}" name="Start" dataDxfId="303"/>
    <tableColumn id="2" xr3:uid="{989E7E59-5CE8-48CD-BA67-C8A9FF5F73C3}" name="End" dataDxfId="302"/>
    <tableColumn id="4" xr3:uid="{8DAEBC86-9441-4806-BA7F-BC6459C7264F}" name="Activity" dataDxfId="301"/>
    <tableColumn id="3" xr3:uid="{6C67DB29-F529-4503-A59A-987094614606}" name="Elapsed" dataDxfId="300">
      <calculatedColumnFormula>IF(OR(ISBLANK(Term3_Early_Dismissal_4[[#This Row],[Start]]),ISBLANK(Term3_Early_Dismissal_4[[#This Row],[End]])),"",(Term3_Early_Dismissal_4[[#This Row],[End]]-Term3_Early_Dismissal_4[[#This Row],[Start]])*1440)</calculatedColumnFormula>
    </tableColumn>
    <tableColumn id="5" xr3:uid="{38692747-39DE-4DF1-AC6C-EF12CA2754A3}" name="Instructional Time" dataDxfId="299">
      <calculatedColumnFormula>IF(ISBLANK(Term3_Early_Dismissal_4[[#This Row],[Activity]]),"",IF(_xlfn.XLOOKUP(Term3_Early_Dismissal_4[[#This Row],[Activity]],Types_of_Activity[Type of Activity],Types_of_Activity[Classification])=1,Term3_Early_Dismissal_4[[#This Row],[Elapsed]],0))</calculatedColumnFormula>
    </tableColumn>
    <tableColumn id="6" xr3:uid="{5C362FEA-FCFC-409D-9E37-F01B706CEC2A}" name="Assigned Time (Non-Instructional)" dataDxfId="298">
      <calculatedColumnFormula>IF(ISBLANK(Term3_Early_Dismissal_4[[#This Row],[Activity]]),"",IF(_xlfn.XLOOKUP(Term3_Early_Dismissal_4[[#This Row],[Activity]],Types_of_Activity[Type of Activity],Types_of_Activity[Classification])=2,Term3_Early_Dismissal_4[[#This Row],[Elapsed]],0))</calculatedColumnFormula>
    </tableColumn>
  </tableColumns>
  <tableStyleInfo name="TableStyleMedium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0C122BC-1A2A-4666-A52C-89C36DCD3E66}" name="Term3_Early_Dismissal_5" displayName="Term3_Early_Dismissal_5" ref="AD56:AI89" totalsRowShown="0" headerRowDxfId="297" dataDxfId="296">
  <autoFilter ref="AD56:AI89" xr:uid="{50C122BC-1A2A-4666-A52C-89C36DCD3E66}">
    <filterColumn colId="0" hiddenButton="1"/>
    <filterColumn colId="1" hiddenButton="1"/>
    <filterColumn colId="2" hiddenButton="1"/>
    <filterColumn colId="3" hiddenButton="1"/>
    <filterColumn colId="4" hiddenButton="1"/>
    <filterColumn colId="5" hiddenButton="1"/>
  </autoFilter>
  <tableColumns count="6">
    <tableColumn id="1" xr3:uid="{6E3E9E7C-0EAB-4FCC-9CAA-78FAC9FA5E10}" name="Start" dataDxfId="295"/>
    <tableColumn id="2" xr3:uid="{66B32859-4F25-428B-BF7B-CACFF31A1F8C}" name="End" dataDxfId="294"/>
    <tableColumn id="4" xr3:uid="{6FD9F5B4-7B6D-41F7-BB01-C0D92DABBA76}" name="Activity" dataDxfId="293"/>
    <tableColumn id="3" xr3:uid="{A10A3EB8-1884-4D2A-BEFD-7EBBAC7C0307}" name="Elapsed" dataDxfId="292">
      <calculatedColumnFormula>IF(OR(ISBLANK(Term3_Early_Dismissal_5[[#This Row],[Start]]),ISBLANK(Term3_Early_Dismissal_5[[#This Row],[End]])),"",(Term3_Early_Dismissal_5[[#This Row],[End]]-Term3_Early_Dismissal_5[[#This Row],[Start]])*1440)</calculatedColumnFormula>
    </tableColumn>
    <tableColumn id="5" xr3:uid="{11E9B6F3-14C0-4261-8FF6-BE61B297F137}" name="Instructional Time" dataDxfId="291">
      <calculatedColumnFormula>IF(ISBLANK(Term3_Early_Dismissal_5[[#This Row],[Activity]]),"",IF(_xlfn.XLOOKUP(Term3_Early_Dismissal_5[[#This Row],[Activity]],Types_of_Activity[Type of Activity],Types_of_Activity[Classification])=1,Term3_Early_Dismissal_5[[#This Row],[Elapsed]],0))</calculatedColumnFormula>
    </tableColumn>
    <tableColumn id="6" xr3:uid="{FC303D6C-F7F6-4BDE-980E-C597CECF31C8}" name="Assigned Time (Non-Instructional)" dataDxfId="290">
      <calculatedColumnFormula>IF(ISBLANK(Term3_Early_Dismissal_5[[#This Row],[Activity]]),"",IF(_xlfn.XLOOKUP(Term3_Early_Dismissal_5[[#This Row],[Activity]],Types_of_Activity[Type of Activity],Types_of_Activity[Classification])=2,Term3_Early_Dismissal_5[[#This Row],[Elapsed]],0))</calculatedColumnFormula>
    </tableColumn>
  </tableColumns>
  <tableStyleInfo name="TableStyleMedium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FE21D943-5137-4CC9-8489-3D1EB0826463}" name="Term3_Early_Dismissal_6" displayName="Term3_Early_Dismissal_6" ref="AK56:AP89" totalsRowShown="0" headerRowDxfId="289" dataDxfId="288">
  <autoFilter ref="AK56:AP89" xr:uid="{FE21D943-5137-4CC9-8489-3D1EB0826463}">
    <filterColumn colId="0" hiddenButton="1"/>
    <filterColumn colId="1" hiddenButton="1"/>
    <filterColumn colId="2" hiddenButton="1"/>
    <filterColumn colId="3" hiddenButton="1"/>
    <filterColumn colId="4" hiddenButton="1"/>
    <filterColumn colId="5" hiddenButton="1"/>
  </autoFilter>
  <tableColumns count="6">
    <tableColumn id="1" xr3:uid="{51B38651-2ADE-476E-99B0-543C44995C92}" name="Start" dataDxfId="287"/>
    <tableColumn id="2" xr3:uid="{AC5B1379-DBBF-4166-9D31-7FDE324BAB8D}" name="End" dataDxfId="286"/>
    <tableColumn id="4" xr3:uid="{AEDB857D-6082-42E8-8B09-C2338756DDCE}" name="Activity" dataDxfId="285"/>
    <tableColumn id="3" xr3:uid="{F3EC9391-536D-4D8E-84D7-C721B6AC94FD}" name="Elapsed" dataDxfId="284">
      <calculatedColumnFormula>IF(OR(ISBLANK(Term3_Early_Dismissal_6[[#This Row],[Start]]),ISBLANK(Term3_Early_Dismissal_6[[#This Row],[End]])),"",(Term3_Early_Dismissal_6[[#This Row],[End]]-Term3_Early_Dismissal_6[[#This Row],[Start]])*1440)</calculatedColumnFormula>
    </tableColumn>
    <tableColumn id="5" xr3:uid="{8EF13CA4-BBB4-437A-B931-9664496AA8D4}" name="Instructional Time" dataDxfId="283">
      <calculatedColumnFormula>IF(ISBLANK(Term3_Early_Dismissal_6[[#This Row],[Activity]]),"",IF(_xlfn.XLOOKUP(Term3_Early_Dismissal_6[[#This Row],[Activity]],Types_of_Activity[Type of Activity],Types_of_Activity[Classification])=1,Term3_Early_Dismissal_6[[#This Row],[Elapsed]],0))</calculatedColumnFormula>
    </tableColumn>
    <tableColumn id="6" xr3:uid="{4E416D13-D916-45D1-8B6C-E74312AE83DA}" name="Assigned Time (Non-Instructional)" dataDxfId="282">
      <calculatedColumnFormula>IF(ISBLANK(Term3_Early_Dismissal_6[[#This Row],[Activity]]),"",IF(_xlfn.XLOOKUP(Term3_Early_Dismissal_6[[#This Row],[Activity]],Types_of_Activity[Type of Activity],Types_of_Activity[Classification])=2,Term3_Early_Dismissal_6[[#This Row],[Elapsed]],0))</calculatedColumnFormula>
    </tableColumn>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863ACF-58C1-4D72-959F-71C1B6DE7A25}" name="Term1_Day_4" displayName="Term1_Day_4" ref="W17:AB50" totalsRowShown="0" headerRowDxfId="713" dataDxfId="712">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ED0F0F1A-325E-4E56-9D71-F475DD1819EC}" name="Start" dataDxfId="711"/>
    <tableColumn id="2" xr3:uid="{AB841691-2A45-4B98-B7A3-955F418D8A60}" name="End" dataDxfId="710"/>
    <tableColumn id="4" xr3:uid="{A2E49AEA-1E96-45FB-B3E6-7D1BE1C00E88}" name="Activity" dataDxfId="709"/>
    <tableColumn id="3" xr3:uid="{AE1362DE-36CB-4D85-82D3-9893624737EC}" name="Elapsed" dataDxfId="708">
      <calculatedColumnFormula>IF(OR(ISBLANK(Term1_Day_4[[#This Row],[Start]]),ISBLANK(Term1_Day_4[[#This Row],[End]])),"",(Term1_Day_4[[#This Row],[End]]-Term1_Day_4[[#This Row],[Start]])*1440)</calculatedColumnFormula>
    </tableColumn>
    <tableColumn id="5" xr3:uid="{306591DF-A25F-4CAB-92CE-A53C0A206200}" name="Instructional Time" dataDxfId="707">
      <calculatedColumnFormula>IF(ISBLANK(Term1_Day_4[[#This Row],[Activity]]),"",IF(_xlfn.XLOOKUP(Term1_Day_4[[#This Row],[Activity]],Types_of_Activity[Type of Activity],Types_of_Activity[Classification])=1,Term1_Day_4[[#This Row],[Elapsed]],0))</calculatedColumnFormula>
    </tableColumn>
    <tableColumn id="6" xr3:uid="{3BF4B0B1-5B44-40BD-A984-BA79E2B53C50}" name="Assigned Time (Non-Instructional)" dataDxfId="706">
      <calculatedColumnFormula>IF(ISBLANK(Term1_Day_4[[#This Row],[Activity]]),"",IF(_xlfn.XLOOKUP(Term1_Day_4[[#This Row],[Activity]],Types_of_Activity[Type of Activity],Types_of_Activity[Classification])=2,Term1_Day_4[[#This Row],[Elapsed]],0))</calculatedColumnFormula>
    </tableColumn>
  </tableColumns>
  <tableStyleInfo name="TableStyleMedium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0807779-AD42-487E-B696-45F6A92208B5}" name="Term4_Day_1" displayName="Term4_Day_1" ref="B17:G50" totalsRowShown="0" headerRowDxfId="281" dataDxfId="280">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67004C0C-C7B8-4320-9B92-59D8CE414CC7}" name="Start" dataDxfId="279"/>
    <tableColumn id="2" xr3:uid="{292B31D2-4234-4516-9DDD-4A8790489882}" name="End" dataDxfId="278"/>
    <tableColumn id="4" xr3:uid="{7EC009A9-3319-4C28-9771-D8AC69A14551}" name="Activity" dataDxfId="277"/>
    <tableColumn id="3" xr3:uid="{CFBDFD8D-399F-4453-9ED2-174A301EF7E1}" name="Elapsed" dataDxfId="276">
      <calculatedColumnFormula>IF(OR(ISBLANK(Term4_Day_1[[#This Row],[Start]]),ISBLANK(Term4_Day_1[[#This Row],[End]])),"",(Term4_Day_1[[#This Row],[End]]-Term4_Day_1[[#This Row],[Start]])*1440)</calculatedColumnFormula>
    </tableColumn>
    <tableColumn id="5" xr3:uid="{67877A2B-5DB8-4212-A9D0-65EC55961ED4}" name="Instructional Time" dataDxfId="275">
      <calculatedColumnFormula>IF(ISBLANK(Term4_Day_1[[#This Row],[Activity]]),"",IF(_xlfn.XLOOKUP(Term4_Day_1[[#This Row],[Activity]],Types_of_Activity[Type of Activity],Types_of_Activity[Classification])=1,Term4_Day_1[[#This Row],[Elapsed]],0))</calculatedColumnFormula>
    </tableColumn>
    <tableColumn id="6" xr3:uid="{8A08B8EA-D9B7-47EE-9611-0847ECFCB91A}" name="Assigned Time (Non-Instructional)" dataDxfId="274">
      <calculatedColumnFormula>IF(ISBLANK(Term4_Day_1[[#This Row],[Activity]]),"",IF(_xlfn.XLOOKUP(Term4_Day_1[[#This Row],[Activity]],Types_of_Activity[Type of Activity],Types_of_Activity[Classification])=2,Term4_Day_1[[#This Row],[Elapsed]],0))</calculatedColumnFormula>
    </tableColumn>
  </tableColumns>
  <tableStyleInfo name="TableStyleMedium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1C42E0D-0DED-4428-AD0F-96EDBB18F826}" name="Term4_Day_2" displayName="Term4_Day_2" ref="I17:N50" totalsRowShown="0" headerRowDxfId="273" dataDxfId="272">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B45DB027-3CFA-4A7C-9CFF-59925E3C3122}" name="Start" dataDxfId="271"/>
    <tableColumn id="2" xr3:uid="{D25FDDF6-1A62-4A21-9E04-0CA2B92DAD6C}" name="End" dataDxfId="270"/>
    <tableColumn id="4" xr3:uid="{EF09BA31-0E6F-48BC-91F6-02053CC9BC08}" name="Activity" dataDxfId="269"/>
    <tableColumn id="3" xr3:uid="{EBBFC59B-1F5F-43E8-A443-9491EC7F0896}" name="Elapsed" dataDxfId="268">
      <calculatedColumnFormula>IF(OR(ISBLANK(Term4_Day_2[[#This Row],[Start]]),ISBLANK(Term4_Day_2[[#This Row],[End]])),"",(Term4_Day_2[[#This Row],[End]]-Term4_Day_2[[#This Row],[Start]])*1440)</calculatedColumnFormula>
    </tableColumn>
    <tableColumn id="5" xr3:uid="{B2E64C3D-652B-4A37-B3B5-AAEB76C3E250}" name="Instructional Time" dataDxfId="267">
      <calculatedColumnFormula>IF(ISBLANK(Term4_Day_2[[#This Row],[Activity]]),"",IF(_xlfn.XLOOKUP(Term4_Day_2[[#This Row],[Activity]],Types_of_Activity[Type of Activity],Types_of_Activity[Classification])=1,Term4_Day_2[[#This Row],[Elapsed]],0))</calculatedColumnFormula>
    </tableColumn>
    <tableColumn id="6" xr3:uid="{CD707163-BDC3-4597-BBD0-590527406573}" name="Assigned Time (Non-Instructional)" dataDxfId="266">
      <calculatedColumnFormula>IF(ISBLANK(Term4_Day_2[[#This Row],[Activity]]),"",IF(_xlfn.XLOOKUP(Term4_Day_2[[#This Row],[Activity]],Types_of_Activity[Type of Activity],Types_of_Activity[Classification])=2,Term4_Day_2[[#This Row],[Elapsed]],0))</calculatedColumnFormula>
    </tableColumn>
  </tableColumns>
  <tableStyleInfo name="TableStyleMedium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6C9947C-4982-4299-9A1A-C9BD9FEBA3CE}" name="Term4_Day_3" displayName="Term4_Day_3" ref="P17:U50" totalsRowShown="0" headerRowDxfId="265" dataDxfId="264">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82FE198E-7C3C-4245-829E-1F3425E46E5E}" name="Start" dataDxfId="263"/>
    <tableColumn id="2" xr3:uid="{98952826-50DE-4E76-B24F-91CF60C459D2}" name="End" dataDxfId="262"/>
    <tableColumn id="4" xr3:uid="{2DD84657-C2E9-4483-9758-30B3893441F6}" name="Activity" dataDxfId="261"/>
    <tableColumn id="3" xr3:uid="{77A33473-A8B2-46BB-BC3B-2B3224642A94}" name="Elapsed" dataDxfId="260">
      <calculatedColumnFormula>IF(OR(ISBLANK(Term4_Day_3[[#This Row],[Start]]),ISBLANK(Term4_Day_3[[#This Row],[End]])),"",(Term4_Day_3[[#This Row],[End]]-Term4_Day_3[[#This Row],[Start]])*1440)</calculatedColumnFormula>
    </tableColumn>
    <tableColumn id="5" xr3:uid="{EC92A205-6563-48B5-A65B-C856BFA69A02}" name="Instructional Time" dataDxfId="259">
      <calculatedColumnFormula>IF(ISBLANK(Term4_Day_3[[#This Row],[Activity]]),"",IF(_xlfn.XLOOKUP(Term4_Day_3[[#This Row],[Activity]],Types_of_Activity[Type of Activity],Types_of_Activity[Classification])=1,Term4_Day_3[[#This Row],[Elapsed]],0))</calculatedColumnFormula>
    </tableColumn>
    <tableColumn id="6" xr3:uid="{67B63D9F-A2CC-49E2-AD46-A33219C58D43}" name="Assigned Time (Non-Instructional)" dataDxfId="258">
      <calculatedColumnFormula>IF(ISBLANK(Term4_Day_3[[#This Row],[Activity]]),"",IF(_xlfn.XLOOKUP(Term4_Day_3[[#This Row],[Activity]],Types_of_Activity[Type of Activity],Types_of_Activity[Classification])=2,Term4_Day_3[[#This Row],[Elapsed]],0))</calculatedColumnFormula>
    </tableColumn>
  </tableColumns>
  <tableStyleInfo name="TableStyleMedium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FF26E5C-BEEE-4EE8-95C3-87F2CA2BA919}" name="Term4_Day_4" displayName="Term4_Day_4" ref="W17:AB50" totalsRowShown="0" headerRowDxfId="257" dataDxfId="256">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036A2F82-FAF0-461C-A54A-34215F3E9FDA}" name="Start" dataDxfId="255"/>
    <tableColumn id="2" xr3:uid="{40AE573C-1855-4B32-8B02-8FBFEB9223CC}" name="End" dataDxfId="254"/>
    <tableColumn id="4" xr3:uid="{6A1331AF-0D23-41C1-A8CB-46CE1737A3F7}" name="Activity" dataDxfId="253"/>
    <tableColumn id="3" xr3:uid="{18BB8417-78FA-407C-B743-9EEA93374B84}" name="Elapsed" dataDxfId="252">
      <calculatedColumnFormula>IF(OR(ISBLANK(Term4_Day_4[[#This Row],[Start]]),ISBLANK(Term4_Day_4[[#This Row],[End]])),"",(Term4_Day_4[[#This Row],[End]]-Term4_Day_4[[#This Row],[Start]])*1440)</calculatedColumnFormula>
    </tableColumn>
    <tableColumn id="5" xr3:uid="{FC2F9C05-443E-4E77-853D-4933C7BF337D}" name="Instructional Time" dataDxfId="251">
      <calculatedColumnFormula>IF(ISBLANK(Term4_Day_4[[#This Row],[Activity]]),"",IF(_xlfn.XLOOKUP(Term4_Day_4[[#This Row],[Activity]],Types_of_Activity[Type of Activity],Types_of_Activity[Classification])=1,Term4_Day_4[[#This Row],[Elapsed]],0))</calculatedColumnFormula>
    </tableColumn>
    <tableColumn id="6" xr3:uid="{07D0C5F2-33A2-49AA-8A74-EF507FB0675F}" name="Assigned Time (Non-Instructional)" dataDxfId="250">
      <calculatedColumnFormula>IF(ISBLANK(Term4_Day_4[[#This Row],[Activity]]),"",IF(_xlfn.XLOOKUP(Term4_Day_4[[#This Row],[Activity]],Types_of_Activity[Type of Activity],Types_of_Activity[Classification])=2,Term4_Day_4[[#This Row],[Elapsed]],0))</calculatedColumnFormula>
    </tableColumn>
  </tableColumns>
  <tableStyleInfo name="TableStyleMedium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F23C081-8F3C-4692-915A-9C6EE82855A1}" name="Term4_Day_5" displayName="Term4_Day_5" ref="AD17:AI50" totalsRowShown="0" headerRowDxfId="249" dataDxfId="248">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341BA7DF-FF79-4AAA-AE1F-B297A1DC51B5}" name="Start" dataDxfId="247"/>
    <tableColumn id="2" xr3:uid="{FEE8C15E-9940-4E5E-B570-9754752EC22F}" name="End" dataDxfId="246"/>
    <tableColumn id="4" xr3:uid="{02CEB08C-3D50-497E-A995-D4B86100B67C}" name="Activity" dataDxfId="245"/>
    <tableColumn id="3" xr3:uid="{9E793A67-E893-4BCB-BA42-0856963B37EB}" name="Elapsed" dataDxfId="244">
      <calculatedColumnFormula>IF(OR(ISBLANK(Term4_Day_5[[#This Row],[Start]]),ISBLANK(Term4_Day_5[[#This Row],[End]])),"",(Term4_Day_5[[#This Row],[End]]-Term4_Day_5[[#This Row],[Start]])*1440)</calculatedColumnFormula>
    </tableColumn>
    <tableColumn id="5" xr3:uid="{28DC365E-3425-48EA-AFEA-6FDB86405F65}" name="Instructional Time" dataDxfId="243">
      <calculatedColumnFormula>IF(ISBLANK(Term4_Day_5[[#This Row],[Activity]]),"",IF(_xlfn.XLOOKUP(Term4_Day_5[[#This Row],[Activity]],Types_of_Activity[Type of Activity],Types_of_Activity[Classification])=1,Term4_Day_5[[#This Row],[Elapsed]],0))</calculatedColumnFormula>
    </tableColumn>
    <tableColumn id="6" xr3:uid="{C52A1080-8ED3-4005-86C3-81B4CA6300E2}" name="Assigned Time (Non-Instructional)" dataDxfId="242">
      <calculatedColumnFormula>IF(ISBLANK(Term4_Day_5[[#This Row],[Activity]]),"",IF(_xlfn.XLOOKUP(Term4_Day_5[[#This Row],[Activity]],Types_of_Activity[Type of Activity],Types_of_Activity[Classification])=2,Term4_Day_5[[#This Row],[Elapsed]],0))</calculatedColumnFormula>
    </tableColumn>
  </tableColumns>
  <tableStyleInfo name="TableStyleMedium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EF19060-68E2-4CB1-9F59-63FC25D79657}" name="Term4_Day_6" displayName="Term4_Day_6" ref="AK17:AP50" totalsRowShown="0" headerRowDxfId="241" dataDxfId="240">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30E27197-6E4E-49C9-A8EF-59DCE916265B}" name="Start" dataDxfId="239"/>
    <tableColumn id="2" xr3:uid="{BDC2B9A4-B3D8-4906-8DA2-749851B5B39B}" name="End" dataDxfId="238"/>
    <tableColumn id="4" xr3:uid="{C0CAB3EC-C23A-4838-927D-37D53A812998}" name="Activity" dataDxfId="237"/>
    <tableColumn id="3" xr3:uid="{7FF38EF9-3598-4B0A-9DF2-4CE832B9BB3B}" name="Elapsed" dataDxfId="236">
      <calculatedColumnFormula>IF(OR(ISBLANK(Term4_Day_6[[#This Row],[Start]]),ISBLANK(Term4_Day_6[[#This Row],[End]])),"",(Term4_Day_6[[#This Row],[End]]-Term4_Day_6[[#This Row],[Start]])*1440)</calculatedColumnFormula>
    </tableColumn>
    <tableColumn id="5" xr3:uid="{EACE5EA0-C7C7-4452-8D28-0B7CD999A757}" name="Instructional Time" dataDxfId="235">
      <calculatedColumnFormula>IF(ISBLANK(Term4_Day_6[[#This Row],[Activity]]),"",IF(_xlfn.XLOOKUP(Term4_Day_6[[#This Row],[Activity]],Types_of_Activity[Type of Activity],Types_of_Activity[Classification])=1,Term4_Day_6[[#This Row],[Elapsed]],0))</calculatedColumnFormula>
    </tableColumn>
    <tableColumn id="6" xr3:uid="{31255044-A926-4846-9936-53E73EDE341C}" name="Assigned Time (Non-Instructional)" dataDxfId="234">
      <calculatedColumnFormula>IF(ISBLANK(Term4_Day_6[[#This Row],[Activity]]),"",IF(_xlfn.XLOOKUP(Term4_Day_6[[#This Row],[Activity]],Types_of_Activity[Type of Activity],Types_of_Activity[Classification])=2,Term4_Day_6[[#This Row],[Elapsed]],0))</calculatedColumnFormula>
    </tableColumn>
  </tableColumns>
  <tableStyleInfo name="TableStyleMedium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A62BDE42-FCEE-4CA1-A103-E8422340CC86}" name="Term4_Day_10" displayName="Term4_Day_10" ref="BM17:BR50" totalsRowShown="0" headerRowDxfId="233" dataDxfId="232">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7B90A3-CAFB-440B-B208-65DB620A80B7}" name="Start" dataDxfId="231"/>
    <tableColumn id="2" xr3:uid="{DEBCE743-1A0D-471F-9C7B-77314A5C08CD}" name="End" dataDxfId="230"/>
    <tableColumn id="4" xr3:uid="{93355F63-A5EC-4170-8BDF-CE19A4E6A3DB}" name="Activity" dataDxfId="229"/>
    <tableColumn id="3" xr3:uid="{D104ACF3-3539-449D-9012-AD12E6B5DDC4}" name="Elapsed" dataDxfId="228">
      <calculatedColumnFormula>IF(OR(ISBLANK(Term4_Day_10[[#This Row],[Start]]),ISBLANK(Term4_Day_10[[#This Row],[End]])),"",(Term4_Day_10[[#This Row],[End]]-Term4_Day_10[[#This Row],[Start]])*1440)</calculatedColumnFormula>
    </tableColumn>
    <tableColumn id="5" xr3:uid="{EB963D2C-AEF3-4854-97F1-3045A0240B52}" name="Instructional Time" dataDxfId="227">
      <calculatedColumnFormula>IF(ISBLANK(Term4_Day_10[[#This Row],[Activity]]),"",IF(_xlfn.XLOOKUP(Term4_Day_10[[#This Row],[Activity]],Types_of_Activity[Type of Activity],Types_of_Activity[Classification])=1,Term4_Day_10[[#This Row],[Elapsed]],0))</calculatedColumnFormula>
    </tableColumn>
    <tableColumn id="6" xr3:uid="{173F74B5-7DDE-4329-840B-155EDCFB5ECE}" name="Assigned Time (Non-Instructional)" dataDxfId="226">
      <calculatedColumnFormula>IF(ISBLANK(Term4_Day_10[[#This Row],[Activity]]),"",IF(_xlfn.XLOOKUP(Term4_Day_10[[#This Row],[Activity]],Types_of_Activity[Type of Activity],Types_of_Activity[Classification])=2,Term4_Day_10[[#This Row],[Elapsed]],0))</calculatedColumnFormula>
    </tableColumn>
  </tableColumns>
  <tableStyleInfo name="TableStyleMedium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7DC345B-C2F3-43EC-B662-4698C8EE213F}" name="Term4_Early_Dismissal_1" displayName="Term4_Early_Dismissal_1" ref="B56:G89" totalsRowShown="0" headerRowDxfId="225" dataDxfId="224">
  <autoFilter ref="B56:G89" xr:uid="{57DC345B-C2F3-43EC-B662-4698C8EE213F}">
    <filterColumn colId="0" hiddenButton="1"/>
    <filterColumn colId="1" hiddenButton="1"/>
    <filterColumn colId="2" hiddenButton="1"/>
    <filterColumn colId="3" hiddenButton="1"/>
    <filterColumn colId="4" hiddenButton="1"/>
    <filterColumn colId="5" hiddenButton="1"/>
  </autoFilter>
  <tableColumns count="6">
    <tableColumn id="1" xr3:uid="{A707D912-6E1D-4ED8-8DBA-39618D1D8994}" name="Start" dataDxfId="223"/>
    <tableColumn id="2" xr3:uid="{20FE7D8B-355A-4BE1-992D-622A686969E6}" name="End" dataDxfId="222"/>
    <tableColumn id="4" xr3:uid="{85CA907B-6266-4A45-9F4F-C89E35239367}" name="Activity" dataDxfId="221"/>
    <tableColumn id="3" xr3:uid="{90A71C1E-7393-432F-A418-86A83417557A}" name="Elapsed" dataDxfId="220">
      <calculatedColumnFormula>IF(OR(ISBLANK(Term4_Early_Dismissal_1[[#This Row],[Start]]),ISBLANK(Term4_Early_Dismissal_1[[#This Row],[End]])),"",(Term4_Early_Dismissal_1[[#This Row],[End]]-Term4_Early_Dismissal_1[[#This Row],[Start]])*1440)</calculatedColumnFormula>
    </tableColumn>
    <tableColumn id="5" xr3:uid="{0B62F9E5-6998-4C6A-A770-56BEECB05E46}" name="Instructional Time" dataDxfId="219">
      <calculatedColumnFormula>IF(ISBLANK(Term4_Early_Dismissal_1[[#This Row],[Activity]]),"",IF(_xlfn.XLOOKUP(Term4_Early_Dismissal_1[[#This Row],[Activity]],Types_of_Activity[Type of Activity],Types_of_Activity[Classification])=1,Term4_Early_Dismissal_1[[#This Row],[Elapsed]],0))</calculatedColumnFormula>
    </tableColumn>
    <tableColumn id="6" xr3:uid="{85D67E5F-9B68-4951-BA5B-C52FAFA63A0F}" name="Assigned Time (Non-Instructional)" dataDxfId="218">
      <calculatedColumnFormula>IF(ISBLANK(Term4_Early_Dismissal_1[[#This Row],[Activity]]),"",IF(_xlfn.XLOOKUP(Term4_Early_Dismissal_1[[#This Row],[Activity]],Types_of_Activity[Type of Activity],Types_of_Activity[Classification])=2,Term4_Early_Dismissal_1[[#This Row],[Elapsed]],0))</calculatedColumnFormula>
    </tableColumn>
  </tableColumns>
  <tableStyleInfo name="TableStyleMedium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B71FCC4-D86F-4D4E-AE3C-6674D39FF586}" name="Term4_Early_Dismissal_2" displayName="Term4_Early_Dismissal_2" ref="I56:N89" totalsRowShown="0" headerRowDxfId="217" dataDxfId="216">
  <autoFilter ref="I56:N89" xr:uid="{BB71FCC4-D86F-4D4E-AE3C-6674D39FF586}">
    <filterColumn colId="0" hiddenButton="1"/>
    <filterColumn colId="1" hiddenButton="1"/>
    <filterColumn colId="2" hiddenButton="1"/>
    <filterColumn colId="3" hiddenButton="1"/>
    <filterColumn colId="4" hiddenButton="1"/>
    <filterColumn colId="5" hiddenButton="1"/>
  </autoFilter>
  <tableColumns count="6">
    <tableColumn id="1" xr3:uid="{45BA0B5C-6B03-4835-9B37-AE77AE69645D}" name="Start" dataDxfId="215"/>
    <tableColumn id="2" xr3:uid="{09400ACC-531F-49CE-BAF2-A6B4A187C971}" name="End" dataDxfId="214"/>
    <tableColumn id="4" xr3:uid="{9838BA9B-62B7-42C3-BC73-61EE4182F3E6}" name="Activity" dataDxfId="213"/>
    <tableColumn id="3" xr3:uid="{58DDDC81-B4B2-4D53-A21D-88C1F42A7455}" name="Elapsed" dataDxfId="212">
      <calculatedColumnFormula>IF(OR(ISBLANK(Term4_Early_Dismissal_2[[#This Row],[Start]]),ISBLANK(Term4_Early_Dismissal_2[[#This Row],[End]])),"",(Term4_Early_Dismissal_2[[#This Row],[End]]-Term4_Early_Dismissal_2[[#This Row],[Start]])*1440)</calculatedColumnFormula>
    </tableColumn>
    <tableColumn id="5" xr3:uid="{D9E023FB-E990-45C3-97E2-E53350B308D2}" name="Instructional Time" dataDxfId="211">
      <calculatedColumnFormula>IF(ISBLANK(Term4_Early_Dismissal_2[[#This Row],[Activity]]),"",IF(_xlfn.XLOOKUP(Term4_Early_Dismissal_2[[#This Row],[Activity]],Types_of_Activity[Type of Activity],Types_of_Activity[Classification])=1,Term4_Early_Dismissal_2[[#This Row],[Elapsed]],0))</calculatedColumnFormula>
    </tableColumn>
    <tableColumn id="6" xr3:uid="{3B9A18AB-44EA-46AD-A858-2B84D2FF4E74}" name="Assigned Time (Non-Instructional)" dataDxfId="210">
      <calculatedColumnFormula>IF(ISBLANK(Term4_Early_Dismissal_2[[#This Row],[Activity]]),"",IF(_xlfn.XLOOKUP(Term4_Early_Dismissal_2[[#This Row],[Activity]],Types_of_Activity[Type of Activity],Types_of_Activity[Classification])=2,Term4_Early_Dismissal_2[[#This Row],[Elapsed]],0))</calculatedColumnFormula>
    </tableColumn>
  </tableColumns>
  <tableStyleInfo name="TableStyleMedium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215FBE4-35B0-46BE-99FF-5A95E16CDEDE}" name="Term4_Special_Day_1" displayName="Term4_Special_Day_1" ref="B98:G131" totalsRowShown="0" headerRowDxfId="209" dataDxfId="208">
  <autoFilter ref="B98:G131" xr:uid="{1215FBE4-35B0-46BE-99FF-5A95E16CDEDE}">
    <filterColumn colId="0" hiddenButton="1"/>
    <filterColumn colId="1" hiddenButton="1"/>
    <filterColumn colId="2" hiddenButton="1"/>
    <filterColumn colId="3" hiddenButton="1"/>
    <filterColumn colId="4" hiddenButton="1"/>
    <filterColumn colId="5" hiddenButton="1"/>
  </autoFilter>
  <tableColumns count="6">
    <tableColumn id="1" xr3:uid="{4D00FBC7-C397-41E6-8D3F-95E86588ADFC}" name="Start" dataDxfId="207"/>
    <tableColumn id="2" xr3:uid="{91567121-6736-4FBE-AD21-B480C0E8DAC3}" name="End" dataDxfId="206"/>
    <tableColumn id="4" xr3:uid="{3F45F77B-8F22-458A-9F28-56D028877CE2}" name="Activity" dataDxfId="205"/>
    <tableColumn id="3" xr3:uid="{1C50C5F0-BE18-498E-9D22-7BDFDA4C3A08}" name="Elapsed" dataDxfId="204">
      <calculatedColumnFormula>IF(OR(ISBLANK(Term4_Special_Day_1[[#This Row],[Start]]),ISBLANK(Term4_Special_Day_1[[#This Row],[End]])),"",(Term4_Special_Day_1[[#This Row],[End]]-Term4_Special_Day_1[[#This Row],[Start]])*1440)</calculatedColumnFormula>
    </tableColumn>
    <tableColumn id="5" xr3:uid="{CC3C693C-E949-4DC7-9327-5F81864C409F}" name="Instructional Time" dataDxfId="203">
      <calculatedColumnFormula>IF(ISBLANK(Term4_Special_Day_1[[#This Row],[Activity]]),"",IF(_xlfn.XLOOKUP(Term4_Special_Day_1[[#This Row],[Activity]],Types_of_Activity[Type of Activity],Types_of_Activity[Classification])=1,Term4_Special_Day_1[[#This Row],[Elapsed]],0))</calculatedColumnFormula>
    </tableColumn>
    <tableColumn id="6" xr3:uid="{FCF46450-A55D-4A3F-8AD3-0CCD25BF5005}" name="Assigned Time (Non-Instructional)" dataDxfId="202">
      <calculatedColumnFormula>IF(ISBLANK(Term4_Special_Day_1[[#This Row],[Activity]]),"",IF(_xlfn.XLOOKUP(Term4_Special_Day_1[[#This Row],[Activity]],Types_of_Activity[Type of Activity],Types_of_Activity[Classification])=2,Term4_Special_Day_1[[#This Row],[Elapsed]],0))</calculatedColumnFormula>
    </tableColumn>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38371F3-74A6-4468-8630-90FA9F2810C8}" name="Term1_Day_5" displayName="Term1_Day_5" ref="AD17:AI50" totalsRowShown="0" headerRowDxfId="705" dataDxfId="704">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5CC5AA9-D1FB-44A4-9F21-16404AAC1AFB}" name="Start" dataDxfId="703"/>
    <tableColumn id="2" xr3:uid="{C7A61140-E82A-4090-ABC7-C6CCE64FF6B0}" name="End" dataDxfId="702"/>
    <tableColumn id="4" xr3:uid="{FBB2AAF9-87A6-44CD-93D4-DFEB53761469}" name="Activity" dataDxfId="701"/>
    <tableColumn id="3" xr3:uid="{B03D3F9A-112C-4401-B13E-A156A5ADF569}" name="Elapsed" dataDxfId="700">
      <calculatedColumnFormula>IF(OR(ISBLANK(Term1_Day_5[[#This Row],[Start]]),ISBLANK(Term1_Day_5[[#This Row],[End]])),"",(Term1_Day_5[[#This Row],[End]]-Term1_Day_5[[#This Row],[Start]])*1440)</calculatedColumnFormula>
    </tableColumn>
    <tableColumn id="5" xr3:uid="{63748BDD-42F2-44F2-A5A5-ABF42D3CFD03}" name="Instructional Time" dataDxfId="699">
      <calculatedColumnFormula>IF(ISBLANK(Term1_Day_5[[#This Row],[Activity]]),"",IF(_xlfn.XLOOKUP(Term1_Day_5[[#This Row],[Activity]],Types_of_Activity[Type of Activity],Types_of_Activity[Classification])=1,Term1_Day_5[[#This Row],[Elapsed]],0))</calculatedColumnFormula>
    </tableColumn>
    <tableColumn id="6" xr3:uid="{C6CEA029-ECFB-4157-8C96-AB46338D1D82}" name="Assigned Time (Non-Instructional)" dataDxfId="698">
      <calculatedColumnFormula>IF(ISBLANK(Term1_Day_5[[#This Row],[Activity]]),"",IF(_xlfn.XLOOKUP(Term1_Day_5[[#This Row],[Activity]],Types_of_Activity[Type of Activity],Types_of_Activity[Classification])=2,Term1_Day_5[[#This Row],[Elapsed]],0))</calculatedColumnFormula>
    </tableColumn>
  </tableColumns>
  <tableStyleInfo name="TableStyleMedium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C2132A5-FCFE-408C-AC77-300BC9247150}" name="Term4_Special_Day_2" displayName="Term4_Special_Day_2" ref="I98:N131" totalsRowShown="0" headerRowDxfId="201" dataDxfId="200">
  <autoFilter ref="I98:N131" xr:uid="{BC2132A5-FCFE-408C-AC77-300BC9247150}">
    <filterColumn colId="0" hiddenButton="1"/>
    <filterColumn colId="1" hiddenButton="1"/>
    <filterColumn colId="2" hiddenButton="1"/>
    <filterColumn colId="3" hiddenButton="1"/>
    <filterColumn colId="4" hiddenButton="1"/>
    <filterColumn colId="5" hiddenButton="1"/>
  </autoFilter>
  <tableColumns count="6">
    <tableColumn id="1" xr3:uid="{935B61D1-E8EC-44BB-B057-44F0D3920437}" name="Start" dataDxfId="199"/>
    <tableColumn id="2" xr3:uid="{8778567B-ABE7-4DBF-90BF-96129BC47660}" name="End" dataDxfId="198"/>
    <tableColumn id="4" xr3:uid="{249B7200-0E90-4FF4-8D1D-D8584E36DEA6}" name="Activity" dataDxfId="197"/>
    <tableColumn id="3" xr3:uid="{E725446B-CC1F-4C80-A9FF-1E05615ABC17}" name="Elapsed" dataDxfId="196">
      <calculatedColumnFormula>IF(OR(ISBLANK(Term4_Special_Day_2[[#This Row],[Start]]),ISBLANK(Term4_Special_Day_2[[#This Row],[End]])),"",(Term4_Special_Day_2[[#This Row],[End]]-Term4_Special_Day_2[[#This Row],[Start]])*1440)</calculatedColumnFormula>
    </tableColumn>
    <tableColumn id="5" xr3:uid="{0A90A26E-8096-4E1A-B944-C87CBAAA6648}" name="Instructional Time" dataDxfId="195">
      <calculatedColumnFormula>IF(ISBLANK(Term4_Special_Day_2[[#This Row],[Activity]]),"",IF(_xlfn.XLOOKUP(Term4_Special_Day_2[[#This Row],[Activity]],Types_of_Activity[Type of Activity],Types_of_Activity[Classification])=1,Term4_Special_Day_2[[#This Row],[Elapsed]],0))</calculatedColumnFormula>
    </tableColumn>
    <tableColumn id="6" xr3:uid="{BD385464-FCD9-48CF-AE7D-5C47718D5B5A}" name="Assigned Time (Non-Instructional)" dataDxfId="194">
      <calculatedColumnFormula>IF(ISBLANK(Term4_Special_Day_2[[#This Row],[Activity]]),"",IF(_xlfn.XLOOKUP(Term4_Special_Day_2[[#This Row],[Activity]],Types_of_Activity[Type of Activity],Types_of_Activity[Classification])=2,Term4_Special_Day_2[[#This Row],[Elapsed]],0))</calculatedColumnFormula>
    </tableColumn>
  </tableColumns>
  <tableStyleInfo name="TableStyleMedium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5320605-9886-4639-B085-0E902EE8814D}" name="Term4_Early_Dismissal_3" displayName="Term4_Early_Dismissal_3" ref="P56:U89" totalsRowShown="0" headerRowDxfId="193" dataDxfId="192">
  <autoFilter ref="P56:U89" xr:uid="{65320605-9886-4639-B085-0E902EE8814D}">
    <filterColumn colId="0" hiddenButton="1"/>
    <filterColumn colId="1" hiddenButton="1"/>
    <filterColumn colId="2" hiddenButton="1"/>
    <filterColumn colId="3" hiddenButton="1"/>
    <filterColumn colId="4" hiddenButton="1"/>
    <filterColumn colId="5" hiddenButton="1"/>
  </autoFilter>
  <tableColumns count="6">
    <tableColumn id="1" xr3:uid="{8EF427BB-08D1-4A6E-A6D1-67DD32064FBE}" name="Start" dataDxfId="191"/>
    <tableColumn id="2" xr3:uid="{83837AE2-D42B-4811-B469-CE489B4C5E8F}" name="End" dataDxfId="190"/>
    <tableColumn id="4" xr3:uid="{A7D9AABD-4E20-4367-AC83-F138648C352D}" name="Activity" dataDxfId="189"/>
    <tableColumn id="3" xr3:uid="{62E8FEA5-74D7-478F-B875-A9D79C28F2A3}" name="Elapsed" dataDxfId="188">
      <calculatedColumnFormula>IF(OR(ISBLANK(Term4_Early_Dismissal_3[[#This Row],[Start]]),ISBLANK(Term4_Early_Dismissal_3[[#This Row],[End]])),"",(Term4_Early_Dismissal_3[[#This Row],[End]]-Term4_Early_Dismissal_3[[#This Row],[Start]])*1440)</calculatedColumnFormula>
    </tableColumn>
    <tableColumn id="5" xr3:uid="{0581C3E2-F2DF-413E-B56E-65DA20AE8AFE}" name="Instructional Time" dataDxfId="187">
      <calculatedColumnFormula>IF(ISBLANK(Term4_Early_Dismissal_3[[#This Row],[Activity]]),"",IF(_xlfn.XLOOKUP(Term4_Early_Dismissal_3[[#This Row],[Activity]],Types_of_Activity[Type of Activity],Types_of_Activity[Classification])=1,Term4_Early_Dismissal_3[[#This Row],[Elapsed]],0))</calculatedColumnFormula>
    </tableColumn>
    <tableColumn id="6" xr3:uid="{93FF3DC7-E768-4086-91CC-7C9923B37928}" name="Assigned Time (Non-Instructional)" dataDxfId="186">
      <calculatedColumnFormula>IF(ISBLANK(Term4_Early_Dismissal_3[[#This Row],[Activity]]),"",IF(_xlfn.XLOOKUP(Term4_Early_Dismissal_3[[#This Row],[Activity]],Types_of_Activity[Type of Activity],Types_of_Activity[Classification])=2,Term4_Early_Dismissal_3[[#This Row],[Elapsed]],0))</calculatedColumnFormula>
    </tableColumn>
  </tableColumns>
  <tableStyleInfo name="TableStyleMedium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968475B5-CAB9-4390-B0E2-67A4D43EC9CC}" name="Term4_Special_Day_3" displayName="Term4_Special_Day_3" ref="P98:U131" totalsRowShown="0" headerRowDxfId="185" dataDxfId="184">
  <autoFilter ref="P98:U131" xr:uid="{968475B5-CAB9-4390-B0E2-67A4D43EC9CC}">
    <filterColumn colId="0" hiddenButton="1"/>
    <filterColumn colId="1" hiddenButton="1"/>
    <filterColumn colId="2" hiddenButton="1"/>
    <filterColumn colId="3" hiddenButton="1"/>
    <filterColumn colId="4" hiddenButton="1"/>
    <filterColumn colId="5" hiddenButton="1"/>
  </autoFilter>
  <tableColumns count="6">
    <tableColumn id="1" xr3:uid="{AC3E3737-C5D8-4A64-8A25-6D6E625D4614}" name="Start" dataDxfId="183"/>
    <tableColumn id="2" xr3:uid="{A4347588-A2ED-4B1C-B0B2-6DE0E54CF85A}" name="End" dataDxfId="182"/>
    <tableColumn id="4" xr3:uid="{862ED852-220E-456D-8DA5-3198A1F58BD6}" name="Activity" dataDxfId="181"/>
    <tableColumn id="3" xr3:uid="{FC10F368-C1C7-4BE5-B96B-2F374F5B470E}" name="Elapsed" dataDxfId="180">
      <calculatedColumnFormula>IF(OR(ISBLANK(Term4_Special_Day_3[[#This Row],[Start]]),ISBLANK(Term4_Special_Day_3[[#This Row],[End]])),"",(Term4_Special_Day_3[[#This Row],[End]]-Term4_Special_Day_3[[#This Row],[Start]])*1440)</calculatedColumnFormula>
    </tableColumn>
    <tableColumn id="5" xr3:uid="{A29D4CAB-27A4-4D97-AB05-D0F4C02DFB0E}" name="Instructional Time" dataDxfId="179">
      <calculatedColumnFormula>IF(ISBLANK(Term4_Special_Day_3[[#This Row],[Activity]]),"",IF(_xlfn.XLOOKUP(Term4_Special_Day_3[[#This Row],[Activity]],Types_of_Activity[Type of Activity],Types_of_Activity[Classification])=1,Term4_Special_Day_3[[#This Row],[Elapsed]],0))</calculatedColumnFormula>
    </tableColumn>
    <tableColumn id="6" xr3:uid="{28F97909-7DBF-4366-9467-6C09C073858F}" name="Assigned Time (Non-Instructional)" dataDxfId="178">
      <calculatedColumnFormula>IF(ISBLANK(Term4_Special_Day_3[[#This Row],[Activity]]),"",IF(_xlfn.XLOOKUP(Term4_Special_Day_3[[#This Row],[Activity]],Types_of_Activity[Type of Activity],Types_of_Activity[Classification])=2,Term4_Special_Day_3[[#This Row],[Elapsed]],0))</calculatedColumnFormula>
    </tableColumn>
  </tableColumns>
  <tableStyleInfo name="TableStyleMedium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38E96358-2D03-4935-A604-C7ADB34384B0}" name="Term4_Day_7" displayName="Term4_Day_7" ref="AR17:AW50" totalsRowShown="0" headerRowDxfId="177" dataDxfId="176">
  <autoFilter ref="AR17:AW50" xr:uid="{38E96358-2D03-4935-A604-C7ADB34384B0}">
    <filterColumn colId="0" hiddenButton="1"/>
    <filterColumn colId="1" hiddenButton="1"/>
    <filterColumn colId="2" hiddenButton="1"/>
    <filterColumn colId="3" hiddenButton="1"/>
    <filterColumn colId="4" hiddenButton="1"/>
    <filterColumn colId="5" hiddenButton="1"/>
  </autoFilter>
  <tableColumns count="6">
    <tableColumn id="1" xr3:uid="{0FE516A7-D712-401F-99DF-49A3CCD30F20}" name="Start" dataDxfId="175"/>
    <tableColumn id="2" xr3:uid="{806134C9-6C5C-4286-BB80-3EEFA71F10A4}" name="End" dataDxfId="174"/>
    <tableColumn id="4" xr3:uid="{136D6671-1DE6-47A6-8AE7-87FF0824DCF2}" name="Activity" dataDxfId="173"/>
    <tableColumn id="3" xr3:uid="{1AF1C586-8C94-4077-BD41-2680B98D6600}" name="Elapsed" dataDxfId="172">
      <calculatedColumnFormula>IF(OR(ISBLANK(Term4_Day_7[[#This Row],[Start]]),ISBLANK(Term4_Day_7[[#This Row],[End]])),"",(Term4_Day_7[[#This Row],[End]]-Term4_Day_7[[#This Row],[Start]])*1440)</calculatedColumnFormula>
    </tableColumn>
    <tableColumn id="5" xr3:uid="{F457EBE5-1E82-467B-908C-6AFF95348A88}" name="Instructional Time" dataDxfId="171">
      <calculatedColumnFormula>IF(ISBLANK(Term4_Day_7[[#This Row],[Activity]]),"",IF(_xlfn.XLOOKUP(Term4_Day_7[[#This Row],[Activity]],Types_of_Activity[Type of Activity],Types_of_Activity[Classification])=1,Term4_Day_7[[#This Row],[Elapsed]],0))</calculatedColumnFormula>
    </tableColumn>
    <tableColumn id="6" xr3:uid="{04E3D597-1B59-4862-92DC-B591AC90DEF5}" name="Assigned Time (Non-Instructional)" dataDxfId="170">
      <calculatedColumnFormula>IF(ISBLANK(Term4_Day_7[[#This Row],[Activity]]),"",IF(_xlfn.XLOOKUP(Term4_Day_7[[#This Row],[Activity]],Types_of_Activity[Type of Activity],Types_of_Activity[Classification])=2,Term4_Day_7[[#This Row],[Elapsed]],0))</calculatedColumnFormula>
    </tableColumn>
  </tableColumns>
  <tableStyleInfo name="TableStyleMedium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57071C11-B785-4833-847B-20FBACC99509}" name="Term4_Day_8" displayName="Term4_Day_8" ref="AY17:BD50" totalsRowShown="0" headerRowDxfId="169" dataDxfId="168">
  <autoFilter ref="AY17:BD50" xr:uid="{57071C11-B785-4833-847B-20FBACC99509}">
    <filterColumn colId="0" hiddenButton="1"/>
    <filterColumn colId="1" hiddenButton="1"/>
    <filterColumn colId="2" hiddenButton="1"/>
    <filterColumn colId="3" hiddenButton="1"/>
    <filterColumn colId="4" hiddenButton="1"/>
    <filterColumn colId="5" hiddenButton="1"/>
  </autoFilter>
  <tableColumns count="6">
    <tableColumn id="1" xr3:uid="{F9DE75E9-A8FB-42A6-B19F-F23EF49338C6}" name="Start" dataDxfId="167"/>
    <tableColumn id="2" xr3:uid="{B6FF3AEB-658C-44A4-9379-F19D52C5F248}" name="End" dataDxfId="166"/>
    <tableColumn id="4" xr3:uid="{1D392B8D-12C4-40C2-AE4C-8AAD70BDA1E1}" name="Activity" dataDxfId="165"/>
    <tableColumn id="3" xr3:uid="{36D25592-E820-4E9B-A53B-C08A358D9E98}" name="Elapsed" dataDxfId="164">
      <calculatedColumnFormula>IF(OR(ISBLANK(Term4_Day_8[[#This Row],[Start]]),ISBLANK(Term4_Day_8[[#This Row],[End]])),"",(Term4_Day_8[[#This Row],[End]]-Term4_Day_8[[#This Row],[Start]])*1440)</calculatedColumnFormula>
    </tableColumn>
    <tableColumn id="5" xr3:uid="{083B479E-4741-488E-B773-C5FA31A0F34D}" name="Instructional Time" dataDxfId="163">
      <calculatedColumnFormula>IF(ISBLANK(Term4_Day_8[[#This Row],[Activity]]),"",IF(_xlfn.XLOOKUP(Term4_Day_8[[#This Row],[Activity]],Types_of_Activity[Type of Activity],Types_of_Activity[Classification])=1,Term4_Day_8[[#This Row],[Elapsed]],0))</calculatedColumnFormula>
    </tableColumn>
    <tableColumn id="6" xr3:uid="{5CB3043B-85C9-4C1C-8E24-9F7C6B88FDED}" name="Assigned Time (Non-Instructional)" dataDxfId="162">
      <calculatedColumnFormula>IF(ISBLANK(Term4_Day_8[[#This Row],[Activity]]),"",IF(_xlfn.XLOOKUP(Term4_Day_8[[#This Row],[Activity]],Types_of_Activity[Type of Activity],Types_of_Activity[Classification])=2,Term4_Day_8[[#This Row],[Elapsed]],0))</calculatedColumnFormula>
    </tableColumn>
  </tableColumns>
  <tableStyleInfo name="TableStyleMedium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5503751-F68D-4479-979B-0461DC8D4995}" name="Term4_Day_9" displayName="Term4_Day_9" ref="BF17:BK50" totalsRowShown="0" headerRowDxfId="161" dataDxfId="160">
  <autoFilter ref="BF17:BK50" xr:uid="{E5503751-F68D-4479-979B-0461DC8D4995}">
    <filterColumn colId="0" hiddenButton="1"/>
    <filterColumn colId="1" hiddenButton="1"/>
    <filterColumn colId="2" hiddenButton="1"/>
    <filterColumn colId="3" hiddenButton="1"/>
    <filterColumn colId="4" hiddenButton="1"/>
    <filterColumn colId="5" hiddenButton="1"/>
  </autoFilter>
  <tableColumns count="6">
    <tableColumn id="1" xr3:uid="{6502036D-9B28-4D3B-BBBF-803DAA22AF3B}" name="Start" dataDxfId="159"/>
    <tableColumn id="2" xr3:uid="{65FDA9AB-B8E8-495A-95C7-F4FFFC5B2F0B}" name="End" dataDxfId="158"/>
    <tableColumn id="4" xr3:uid="{91417F09-279A-4095-982F-5B240806C616}" name="Activity" dataDxfId="157"/>
    <tableColumn id="3" xr3:uid="{33A07C4B-2E7A-423A-A54C-11FFFE72DD0B}" name="Elapsed" dataDxfId="156">
      <calculatedColumnFormula>IF(OR(ISBLANK(Term4_Day_9[[#This Row],[Start]]),ISBLANK(Term4_Day_9[[#This Row],[End]])),"",(Term4_Day_9[[#This Row],[End]]-Term4_Day_9[[#This Row],[Start]])*1440)</calculatedColumnFormula>
    </tableColumn>
    <tableColumn id="5" xr3:uid="{E70A7C1E-DB68-439D-A52B-A1D0CFD96D9B}" name="Instructional Time" dataDxfId="155">
      <calculatedColumnFormula>IF(ISBLANK(Term4_Day_9[[#This Row],[Activity]]),"",IF(_xlfn.XLOOKUP(Term4_Day_9[[#This Row],[Activity]],Types_of_Activity[Type of Activity],Types_of_Activity[Classification])=1,Term4_Day_9[[#This Row],[Elapsed]],0))</calculatedColumnFormula>
    </tableColumn>
    <tableColumn id="6" xr3:uid="{D199F7A6-9117-43E8-B316-A53C2BF1E802}" name="Assigned Time (Non-Instructional)" dataDxfId="154">
      <calculatedColumnFormula>IF(ISBLANK(Term4_Day_9[[#This Row],[Activity]]),"",IF(_xlfn.XLOOKUP(Term4_Day_9[[#This Row],[Activity]],Types_of_Activity[Type of Activity],Types_of_Activity[Classification])=2,Term4_Day_9[[#This Row],[Elapsed]],0))</calculatedColumnFormula>
    </tableColumn>
  </tableColumns>
  <tableStyleInfo name="TableStyleMedium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2EF97137-2F15-4090-B0E8-2F99928C3EF5}" name="Term4_Early_Dismissal_4" displayName="Term4_Early_Dismissal_4" ref="W56:AB89" totalsRowShown="0" headerRowDxfId="153" dataDxfId="152">
  <autoFilter ref="W56:AB89" xr:uid="{2EF97137-2F15-4090-B0E8-2F99928C3EF5}">
    <filterColumn colId="0" hiddenButton="1"/>
    <filterColumn colId="1" hiddenButton="1"/>
    <filterColumn colId="2" hiddenButton="1"/>
    <filterColumn colId="3" hiddenButton="1"/>
    <filterColumn colId="4" hiddenButton="1"/>
    <filterColumn colId="5" hiddenButton="1"/>
  </autoFilter>
  <tableColumns count="6">
    <tableColumn id="1" xr3:uid="{9C45F46B-16D8-4D1F-A793-39ADA9C29567}" name="Start" dataDxfId="151"/>
    <tableColumn id="2" xr3:uid="{D1252331-A605-4146-8B2F-4D2A04A0B357}" name="End" dataDxfId="150"/>
    <tableColumn id="4" xr3:uid="{A866E705-23CB-4E62-AFF9-655B5195B50D}" name="Activity" dataDxfId="149"/>
    <tableColumn id="3" xr3:uid="{0E0A0F81-3C82-44D7-87AF-B7DB0C472907}" name="Elapsed" dataDxfId="148">
      <calculatedColumnFormula>IF(OR(ISBLANK(Term4_Early_Dismissal_4[[#This Row],[Start]]),ISBLANK(Term4_Early_Dismissal_4[[#This Row],[End]])),"",(Term4_Early_Dismissal_4[[#This Row],[End]]-Term4_Early_Dismissal_4[[#This Row],[Start]])*1440)</calculatedColumnFormula>
    </tableColumn>
    <tableColumn id="5" xr3:uid="{425046B5-8C87-443B-A087-D50CB2DB7EC0}" name="Instructional Time" dataDxfId="147">
      <calculatedColumnFormula>IF(ISBLANK(Term4_Early_Dismissal_4[[#This Row],[Activity]]),"",IF(_xlfn.XLOOKUP(Term4_Early_Dismissal_4[[#This Row],[Activity]],Types_of_Activity[Type of Activity],Types_of_Activity[Classification])=1,Term4_Early_Dismissal_4[[#This Row],[Elapsed]],0))</calculatedColumnFormula>
    </tableColumn>
    <tableColumn id="6" xr3:uid="{3116B0B6-E4B6-430A-AD8A-59CB44BEFC70}" name="Assigned Time (Non-Instructional)" dataDxfId="146">
      <calculatedColumnFormula>IF(ISBLANK(Term4_Early_Dismissal_4[[#This Row],[Activity]]),"",IF(_xlfn.XLOOKUP(Term4_Early_Dismissal_4[[#This Row],[Activity]],Types_of_Activity[Type of Activity],Types_of_Activity[Classification])=2,Term4_Early_Dismissal_4[[#This Row],[Elapsed]],0))</calculatedColumnFormula>
    </tableColumn>
  </tableColumns>
  <tableStyleInfo name="TableStyleMedium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61E87C87-8EB7-4C88-B971-7EC4D311B362}" name="Term4_Early_Dismissal_5" displayName="Term4_Early_Dismissal_5" ref="AD56:AI89" totalsRowShown="0" headerRowDxfId="145" dataDxfId="144">
  <autoFilter ref="AD56:AI89" xr:uid="{61E87C87-8EB7-4C88-B971-7EC4D311B362}">
    <filterColumn colId="0" hiddenButton="1"/>
    <filterColumn colId="1" hiddenButton="1"/>
    <filterColumn colId="2" hiddenButton="1"/>
    <filterColumn colId="3" hiddenButton="1"/>
    <filterColumn colId="4" hiddenButton="1"/>
    <filterColumn colId="5" hiddenButton="1"/>
  </autoFilter>
  <tableColumns count="6">
    <tableColumn id="1" xr3:uid="{CDD63003-A3FF-40AC-B938-1D66B95BD7C5}" name="Start" dataDxfId="143"/>
    <tableColumn id="2" xr3:uid="{E333FBDF-0A2E-415E-9BF0-88B0A7B31DD4}" name="End" dataDxfId="142"/>
    <tableColumn id="4" xr3:uid="{04305FE7-314C-4274-912E-852D1124B388}" name="Activity" dataDxfId="141"/>
    <tableColumn id="3" xr3:uid="{6973BB0A-5468-4606-B036-8E6005F91253}" name="Elapsed" dataDxfId="140">
      <calculatedColumnFormula>IF(OR(ISBLANK(Term4_Early_Dismissal_5[[#This Row],[Start]]),ISBLANK(Term4_Early_Dismissal_5[[#This Row],[End]])),"",(Term4_Early_Dismissal_5[[#This Row],[End]]-Term4_Early_Dismissal_5[[#This Row],[Start]])*1440)</calculatedColumnFormula>
    </tableColumn>
    <tableColumn id="5" xr3:uid="{BDFBD451-0A4E-4CB2-B4E5-22EED1C9BE0C}" name="Instructional Time" dataDxfId="139">
      <calculatedColumnFormula>IF(ISBLANK(Term4_Early_Dismissal_5[[#This Row],[Activity]]),"",IF(_xlfn.XLOOKUP(Term4_Early_Dismissal_5[[#This Row],[Activity]],Types_of_Activity[Type of Activity],Types_of_Activity[Classification])=1,Term4_Early_Dismissal_5[[#This Row],[Elapsed]],0))</calculatedColumnFormula>
    </tableColumn>
    <tableColumn id="6" xr3:uid="{2D0ECD31-7F71-4323-936C-3F2E7055734A}" name="Assigned Time (Non-Instructional)" dataDxfId="138">
      <calculatedColumnFormula>IF(ISBLANK(Term4_Early_Dismissal_5[[#This Row],[Activity]]),"",IF(_xlfn.XLOOKUP(Term4_Early_Dismissal_5[[#This Row],[Activity]],Types_of_Activity[Type of Activity],Types_of_Activity[Classification])=2,Term4_Early_Dismissal_5[[#This Row],[Elapsed]],0))</calculatedColumnFormula>
    </tableColumn>
  </tableColumns>
  <tableStyleInfo name="TableStyleMedium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F77FC1D8-9169-4EBD-A485-D5BAC0ECA798}" name="Term4_Early_Dismissal_6" displayName="Term4_Early_Dismissal_6" ref="AK56:AP89" totalsRowShown="0" headerRowDxfId="137" dataDxfId="136">
  <autoFilter ref="AK56:AP89" xr:uid="{F77FC1D8-9169-4EBD-A485-D5BAC0ECA798}">
    <filterColumn colId="0" hiddenButton="1"/>
    <filterColumn colId="1" hiddenButton="1"/>
    <filterColumn colId="2" hiddenButton="1"/>
    <filterColumn colId="3" hiddenButton="1"/>
    <filterColumn colId="4" hiddenButton="1"/>
    <filterColumn colId="5" hiddenButton="1"/>
  </autoFilter>
  <tableColumns count="6">
    <tableColumn id="1" xr3:uid="{AA324F99-78AE-449F-AA98-10A9F33FEEB4}" name="Start" dataDxfId="135"/>
    <tableColumn id="2" xr3:uid="{7F625FF5-F60E-49C8-B8F6-616B03CAE525}" name="End" dataDxfId="134"/>
    <tableColumn id="4" xr3:uid="{8D668EE9-30DC-4B0B-AB28-F89E15F14EA6}" name="Activity" dataDxfId="133"/>
    <tableColumn id="3" xr3:uid="{995B0937-CDEC-48A2-89C1-597427A67B8E}" name="Elapsed" dataDxfId="132">
      <calculatedColumnFormula>IF(OR(ISBLANK(Term4_Early_Dismissal_6[[#This Row],[Start]]),ISBLANK(Term4_Early_Dismissal_6[[#This Row],[End]])),"",(Term4_Early_Dismissal_6[[#This Row],[End]]-Term4_Early_Dismissal_6[[#This Row],[Start]])*1440)</calculatedColumnFormula>
    </tableColumn>
    <tableColumn id="5" xr3:uid="{D6C52993-919E-476D-B09B-AEF744754895}" name="Instructional Time" dataDxfId="131">
      <calculatedColumnFormula>IF(ISBLANK(Term4_Early_Dismissal_6[[#This Row],[Activity]]),"",IF(_xlfn.XLOOKUP(Term4_Early_Dismissal_6[[#This Row],[Activity]],Types_of_Activity[Type of Activity],Types_of_Activity[Classification])=1,Term4_Early_Dismissal_6[[#This Row],[Elapsed]],0))</calculatedColumnFormula>
    </tableColumn>
    <tableColumn id="6" xr3:uid="{A8553692-9010-4910-83F1-1A4DF9A4B8D5}" name="Assigned Time (Non-Instructional)" dataDxfId="130">
      <calculatedColumnFormula>IF(ISBLANK(Term4_Early_Dismissal_6[[#This Row],[Activity]]),"",IF(_xlfn.XLOOKUP(Term4_Early_Dismissal_6[[#This Row],[Activity]],Types_of_Activity[Type of Activity],Types_of_Activity[Classification])=2,Term4_Early_Dismissal_6[[#This Row],[Elapsed]],0))</calculatedColumnFormula>
    </tableColumn>
  </tableColumns>
  <tableStyleInfo name="TableStyleMedium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C0754CA-40D7-4D15-97D3-FE7FB45A40A5}" name="Schools" displayName="Schools" ref="A1:D2057" totalsRowShown="0">
  <autoFilter ref="A1:D2057" xr:uid="{BC0754CA-40D7-4D15-97D3-FE7FB45A40A5}"/>
  <sortState xmlns:xlrd2="http://schemas.microsoft.com/office/spreadsheetml/2017/richdata2" ref="A2:D2040">
    <sortCondition ref="B1:B2040"/>
  </sortState>
  <tableColumns count="4">
    <tableColumn id="1" xr3:uid="{499BD031-10EF-4240-87C7-6BC247696A8E}" name="AuthCode"/>
    <tableColumn id="2" xr3:uid="{9B31E609-DBB9-4B94-9E26-E64E9235D955}" name="AuthName"/>
    <tableColumn id="3" xr3:uid="{9654D24F-2691-41F9-870B-0A3A521F30A3}" name="SchCode"/>
    <tableColumn id="4" xr3:uid="{029459C2-2B23-4673-AB3D-3D48279F0180}" name="SchNam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BCE6DC7-4B78-4556-BA9E-D00F0D5B9B5F}" name="Term1_Day_6" displayName="Term1_Day_6" ref="AK17:AP50" totalsRowShown="0" headerRowDxfId="697" dataDxfId="696">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20BAEBD5-7932-4A2E-8CCE-B35E101F5BFB}" name="Start" dataDxfId="695"/>
    <tableColumn id="2" xr3:uid="{FC51B0D0-A954-4B8F-A36B-117D44644F3F}" name="End" dataDxfId="694"/>
    <tableColumn id="4" xr3:uid="{055F9335-8133-4056-A115-EFAD8D76D4DD}" name="Activity" dataDxfId="693"/>
    <tableColumn id="3" xr3:uid="{3E40FFD6-77CB-4F49-97BB-42A3CE2759F8}" name="Elapsed" dataDxfId="692">
      <calculatedColumnFormula>IF(OR(ISBLANK(Term1_Day_6[[#This Row],[Start]]),ISBLANK(Term1_Day_6[[#This Row],[End]])),"",(Term1_Day_6[[#This Row],[End]]-Term1_Day_6[[#This Row],[Start]])*1440)</calculatedColumnFormula>
    </tableColumn>
    <tableColumn id="5" xr3:uid="{4F6C7EA6-5F45-4B24-BA9E-D2BA9593E73B}" name="Instructional Time" dataDxfId="691">
      <calculatedColumnFormula>IF(ISBLANK(Term1_Day_6[[#This Row],[Activity]]),"",IF(_xlfn.XLOOKUP(Term1_Day_6[[#This Row],[Activity]],Types_of_Activity[Type of Activity],Types_of_Activity[Classification])=1,Term1_Day_6[[#This Row],[Elapsed]],0))</calculatedColumnFormula>
    </tableColumn>
    <tableColumn id="6" xr3:uid="{4F70668F-9062-466C-939A-AEA8A01FF955}" name="Assigned Time (Non-Instructional)" dataDxfId="690">
      <calculatedColumnFormula>IF(ISBLANK(Term1_Day_6[[#This Row],[Activity]]),"",IF(_xlfn.XLOOKUP(Term1_Day_6[[#This Row],[Activity]],Types_of_Activity[Type of Activity],Types_of_Activity[Classification])=2,Term1_Day_6[[#This Row],[Elapsed]],0))</calculatedColumnFormula>
    </tableColumn>
  </tableColumns>
  <tableStyleInfo name="TableStyleMedium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84869DC-DCA8-420F-A271-7A1037E0ADE1}" name="Daily_Totals" displayName="Daily_Totals" ref="AC3:AG91" totalsRowShown="0">
  <autoFilter ref="AC3:AG91" xr:uid="{484869DC-DCA8-420F-A271-7A1037E0ADE1}"/>
  <tableColumns count="5">
    <tableColumn id="1" xr3:uid="{54F7C4A3-C047-4014-84CB-B1D927733D11}" name="Day"/>
    <tableColumn id="5" xr3:uid="{6717E8FE-8861-43FF-A4B0-14889EF84CA0}" name="Term"/>
    <tableColumn id="2" xr3:uid="{0DA5584F-9AFE-4D2C-A501-AA01E40D988B}" name="Instruction" dataDxfId="129"/>
    <tableColumn id="3" xr3:uid="{83E88585-1250-437D-9A28-FBB2B1C52E93}" name="Non-Instruction" dataDxfId="128"/>
    <tableColumn id="4" xr3:uid="{663B6C49-D6B9-426E-9D5F-4BA0E2C642B1}" name="Total" dataDxfId="127">
      <calculatedColumnFormula>+AE4+AF4</calculatedColumnFormula>
    </tableColumn>
  </tableColumns>
  <tableStyleInfo name="TableStyleMedium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E156CBD-F757-4C93-8820-B8309E0BCE48}" name="TimeTable_Codes" displayName="TimeTable_Codes" ref="AC101:AD113" totalsRowShown="0">
  <autoFilter ref="AC101:AD113" xr:uid="{0E156CBD-F757-4C93-8820-B8309E0BCE48}"/>
  <tableColumns count="2">
    <tableColumn id="1" xr3:uid="{77D1D35B-4DF3-4FE8-A781-532858BF28B1}" name="Description"/>
    <tableColumn id="2" xr3:uid="{0DA73526-39E2-4514-88F2-66236FBB41AC}" name="TimetableCode"/>
  </tableColumns>
  <tableStyleInfo name="TableStyleMedium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710729A-66BD-4445-B532-E87BF8100B67}" name="Table35" displayName="Table35" ref="Y2:Z5" totalsRowShown="0">
  <autoFilter ref="Y2:Z5" xr:uid="{4710729A-66BD-4445-B532-E87BF8100B67}"/>
  <tableColumns count="2">
    <tableColumn id="1" xr3:uid="{81D197DE-2965-493C-80B0-D8AAC47D8B26}" name="Type"/>
    <tableColumn id="2" xr3:uid="{4D1527C7-5378-4CAB-9031-5658C03F54D2}" name="Count"/>
  </tableColumns>
  <tableStyleInfo name="TableStyleMedium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C489396-D7FC-424E-A288-F0AAC6F2310C}" name="Monthly_Totals" displayName="Monthly_Totals" ref="AC121:AF133" totalsRowShown="0">
  <autoFilter ref="AC121:AF133" xr:uid="{EC489396-D7FC-424E-A288-F0AAC6F2310C}"/>
  <tableColumns count="4">
    <tableColumn id="4" xr3:uid="{A2ADD502-5867-4E2C-BAD7-8ABC71742559}" name="Month"/>
    <tableColumn id="1" xr3:uid="{8B80310B-8793-4624-A55D-5C221976BA0F}" name="Month Number"/>
    <tableColumn id="2" xr3:uid="{41CA3212-68C9-48B9-8103-044468E2CC9F}" name="Instruction">
      <calculatedColumnFormula>SUMIFS($T$21:$T$226,$J$21:$J$226,"="&amp;AD122)</calculatedColumnFormula>
    </tableColumn>
    <tableColumn id="3" xr3:uid="{8BAE851E-D01D-4D19-9BBE-EC3334FFC0DF}" name="NonInstruction">
      <calculatedColumnFormula>SUMIFS($U$21:$U$226,$J$21:$J$226,"="&amp;AD122)</calculatedColumnFormula>
    </tableColumn>
  </tableColumns>
  <tableStyleInfo name="TableStyleMedium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33434F5-5104-49FB-A4FC-7403577A8D13}" name="Exception_Totals" displayName="Exception_Totals" ref="AC137:AF149" totalsRowShown="0">
  <autoFilter ref="AC137:AF149" xr:uid="{333434F5-5104-49FB-A4FC-7403577A8D13}"/>
  <tableColumns count="4">
    <tableColumn id="1" xr3:uid="{B228B35E-27FC-4F6A-8912-6EC9A90D8BC0}" name="Month"/>
    <tableColumn id="2" xr3:uid="{59E351F9-EB6D-4340-844A-704A4BA6A45B}" name="Instructional">
      <calculatedColumnFormula>SUMIFS(Exceptions[Instructional],Exceptions[Month],"="&amp;AC138)</calculatedColumnFormula>
    </tableColumn>
    <tableColumn id="3" xr3:uid="{C18833BE-B06C-4A91-AE05-82737AEF9934}" name="Non-Instructional" dataDxfId="126">
      <calculatedColumnFormula>(SUMIFS(Exceptions[Assigned Time (Non-Instructional)],Exceptions[Month],"="&amp;AC138))</calculatedColumnFormula>
    </tableColumn>
    <tableColumn id="4" xr3:uid="{7F2901F3-DDA7-45A0-92B9-F6D8E79ED0B7}" name="Total" dataDxfId="125">
      <calculatedColumnFormula>+Exception_Totals[[#This Row],[Non-Instructional]]+Exception_Totals[[#This Row],[Instructional]]</calculatedColumnFormula>
    </tableColumn>
  </tableColumns>
  <tableStyleInfo name="TableStyleMedium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47825F-617B-483A-A7ED-CDAA19BF85EC}" name="term_lookups" displayName="term_lookups" ref="Y9:Z13" totalsRowShown="0">
  <autoFilter ref="Y9:Z13" xr:uid="{0047825F-617B-483A-A7ED-CDAA19BF85EC}"/>
  <tableColumns count="2">
    <tableColumn id="1" xr3:uid="{8B805FD4-4E0F-4B3A-BFB6-0C6C5B030A1F}" name="Date" dataDxfId="124"/>
    <tableColumn id="2" xr3:uid="{FCDEB380-0938-45D4-8FEE-86C50C047966}" name="Term"/>
  </tableColumns>
  <tableStyleInfo name="TableStyleMedium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49749FAD-5CE6-4B9A-9037-1DE9E8E2F93D}" name="Rotation_Reset_Dates" displayName="Rotation_Reset_Dates" ref="Y18:AA22" totalsRowShown="0">
  <autoFilter ref="Y18:AA22" xr:uid="{49749FAD-5CE6-4B9A-9037-1DE9E8E2F93D}"/>
  <tableColumns count="3">
    <tableColumn id="1" xr3:uid="{275F9334-35F6-41C4-B393-368E526482E4}" name="Date" dataDxfId="123"/>
    <tableColumn id="2" xr3:uid="{3665144F-DA92-4F60-A338-45E309A1669A}" name="Term"/>
    <tableColumn id="3" xr3:uid="{84C494E1-8056-4D62-A986-F17413635631}" name="Day"/>
  </tableColumns>
  <tableStyleInfo name="TableStyleMedium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5BB73C9-7570-4FAD-85DE-76FBCE9D869B}" name="Types_of_Day" displayName="Types_of_Day" ref="B3:D16" totalsRowShown="0" headerRowDxfId="122">
  <autoFilter ref="B3:D16" xr:uid="{95BB73C9-7570-4FAD-85DE-76FBCE9D869B}"/>
  <tableColumns count="3">
    <tableColumn id="1" xr3:uid="{40661701-74CA-48FB-949E-A9A5A50523FF}" name="Type of Day"/>
    <tableColumn id="2" xr3:uid="{4D574349-4271-48C0-A1FB-70291F84C1EE}" name="Use"/>
    <tableColumn id="3" xr3:uid="{B0D3A380-7B43-4E7A-87D6-E2AF76FA5F09}" name="Operational"/>
  </tableColumns>
  <tableStyleInfo name="TableStyleMedium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D816AE-26FB-4F74-B7C3-2C604D182830}" name="Types_of_Activity" displayName="Types_of_Activity" ref="F3:G11" totalsRowShown="0" headerRowDxfId="121">
  <autoFilter ref="F3:G11" xr:uid="{C3D816AE-26FB-4F74-B7C3-2C604D182830}"/>
  <tableColumns count="2">
    <tableColumn id="1" xr3:uid="{5A2432E4-B37A-4296-9F8F-F736B4E1BE2C}" name="Type of Activity"/>
    <tableColumn id="2" xr3:uid="{F8D32663-2DB0-489E-994F-E9202F3AC19C}" name="Classification"/>
  </tableColumns>
  <tableStyleInfo name="TableStyleMedium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3AB676D-A07D-4E4B-A665-C9211536EFA7}" name="Rotation_Types" displayName="Rotation_Types" ref="I3:J10" totalsRowShown="0">
  <autoFilter ref="I3:J10" xr:uid="{53AB676D-A07D-4E4B-A665-C9211536EFA7}"/>
  <tableColumns count="2">
    <tableColumn id="1" xr3:uid="{5107DC38-1E58-409E-99E7-D84FCF5D92CF}" name="Rotation Types"/>
    <tableColumn id="2" xr3:uid="{514E71CD-E927-49DE-88AB-C2A048BB0AAA}" name="Code"/>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680EA40-2B46-4501-B37E-F9BAB4FFCA79}" name="Term1_Day_10" displayName="Term1_Day_10" ref="BM17:BR50" totalsRowShown="0" headerRowDxfId="689" dataDxfId="688">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16EFDD-6C24-4051-9EC4-BF32E5E47BA5}" name="Start" dataDxfId="687"/>
    <tableColumn id="2" xr3:uid="{B6385FB0-2A54-455B-8EC0-A9A001907A9A}" name="End" dataDxfId="686"/>
    <tableColumn id="4" xr3:uid="{2C01E5C5-CE9D-4853-B433-63281CECA051}" name="Activity" dataDxfId="685"/>
    <tableColumn id="3" xr3:uid="{958E0BFE-9ECD-4454-8546-860EAEFD567F}" name="Elapsed" dataDxfId="684">
      <calculatedColumnFormula>IF(OR(ISBLANK(Term1_Day_10[[#This Row],[Start]]),ISBLANK(Term1_Day_10[[#This Row],[End]])),"",(Term1_Day_10[[#This Row],[End]]-Term1_Day_10[[#This Row],[Start]])*1440)</calculatedColumnFormula>
    </tableColumn>
    <tableColumn id="5" xr3:uid="{806A8C8F-71E8-40BF-8E6F-D5DF302F8C77}" name="Instructional Time" dataDxfId="683">
      <calculatedColumnFormula>IF(ISBLANK(Term1_Day_10[[#This Row],[Activity]]),"",IF(_xlfn.XLOOKUP(Term1_Day_10[[#This Row],[Activity]],Types_of_Activity[Type of Activity],Types_of_Activity[Classification])=1,Term1_Day_10[[#This Row],[Elapsed]],0))</calculatedColumnFormula>
    </tableColumn>
    <tableColumn id="6" xr3:uid="{8EC37DBA-067D-4042-A11F-9896091D3780}" name="Assigned Time (Non-Instructional)" dataDxfId="682">
      <calculatedColumnFormula>IF(ISBLANK(Term1_Day_10[[#This Row],[Activity]]),"",IF(_xlfn.XLOOKUP(Term1_Day_10[[#This Row],[Activity]],Types_of_Activity[Type of Activity],Types_of_Activity[Classification])=2,Term1_Day_10[[#This Row],[Elapsed]],0))</calculatedColumnFormula>
    </tableColumn>
  </tableColumns>
  <tableStyleInfo name="TableStyleMedium9"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AC8A4B0F-E34E-448B-BBCF-5A858A0FE6BD}" name="Exception_Assignor" displayName="Exception_Assignor" ref="L3:L7" totalsRowShown="0">
  <autoFilter ref="L3:L7" xr:uid="{AC8A4B0F-E34E-448B-BBCF-5A858A0FE6BD}"/>
  <tableColumns count="1">
    <tableColumn id="1" xr3:uid="{F21D933E-5CE3-4ADC-A0F6-DB741F11CC5D}" name="Exception Assignor"/>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1">
      <a:majorFont>
        <a:latin typeface="Franklin Gothic Medium Cond"/>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C3" dT="2023-06-21T17:01:39.45" personId="{00000000-0000-0000-0000-000000000000}" id="{8AABABD2-4310-48AF-A7E8-00170848F3ED}">
    <text xml:space="preserve">Special Day Type	Day Code
Early Dismissal 1	90
Early Dismissal 2	91
Early Dismissal 3	92
Extra Day 1	95
Extra Day 2	96
Extra Day 3	97
</text>
  </threadedComment>
</ThreadedComments>
</file>

<file path=xl/threadedComments/threadedComment2.xml><?xml version="1.0" encoding="utf-8"?>
<ThreadedComments xmlns="http://schemas.microsoft.com/office/spreadsheetml/2018/threadedcomments" xmlns:x="http://schemas.openxmlformats.org/spreadsheetml/2006/main">
  <threadedComment ref="I1" dT="2023-06-22T21:36:19.04" personId="{00000000-0000-0000-0000-000000000000}" id="{DC5E533E-F0C0-46C0-AEC1-70848D48E021}">
    <text xml:space="preserve">This number is the result of a lookup of the timetable type from the first page. It is used on the calculation page to set schedule day
</text>
  </threadedComment>
  <threadedComment ref="B3" dT="2023-06-21T14:11:39.06" personId="{00000000-0000-0000-0000-000000000000}" id="{8DD3B7B1-678B-46E2-889F-C2A0F5B74359}">
    <text>The entries below are used on the calendar page to classify days. To add extra types, drag the bottom cell down and then put the new types above. This will automatically populate the drop-downs on the calendar page.</text>
  </threadedComment>
  <threadedComment ref="F3" dT="2023-06-21T14:12:43.81" personId="{00000000-0000-0000-0000-000000000000}" id="{B713BBEB-3769-4693-A8B3-0AA264BE7E1B}">
    <text>The entries below are used to populate the drop-downs for activity type on the timetable setup pages and the exceptions page. See note about Type of Day for instructions on adding entries.
To add extra types, drag the bottom cell down and then put the new types above.</text>
  </threadedComment>
  <threadedComment ref="I3" dT="2023-06-21T14:13:50.10" personId="{00000000-0000-0000-0000-000000000000}" id="{C07D6FBD-1EA0-42FB-B844-DCC95337D530}">
    <text xml:space="preserve">The entries in this block are used to populate the dropdown for timetable type on the initial setup page. To add extra types, drag the bottom cell down and then put the new types above.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85.xml"/><Relationship Id="rId3" Type="http://schemas.openxmlformats.org/officeDocument/2006/relationships/table" Target="../tables/table80.xml"/><Relationship Id="rId7" Type="http://schemas.openxmlformats.org/officeDocument/2006/relationships/table" Target="../tables/table84.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table" Target="../tables/table83.xml"/><Relationship Id="rId11" Type="http://schemas.microsoft.com/office/2017/10/relationships/threadedComment" Target="../threadedComments/threadedComment1.xml"/><Relationship Id="rId5" Type="http://schemas.openxmlformats.org/officeDocument/2006/relationships/table" Target="../tables/table82.xml"/><Relationship Id="rId10" Type="http://schemas.openxmlformats.org/officeDocument/2006/relationships/comments" Target="../comments1.xml"/><Relationship Id="rId4" Type="http://schemas.openxmlformats.org/officeDocument/2006/relationships/table" Target="../tables/table81.xml"/><Relationship Id="rId9" Type="http://schemas.openxmlformats.org/officeDocument/2006/relationships/table" Target="../tables/table86.xml"/></Relationships>
</file>

<file path=xl/worksheets/_rels/sheet1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table" Target="../tables/table90.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table" Target="../tables/table89.xml"/><Relationship Id="rId5" Type="http://schemas.openxmlformats.org/officeDocument/2006/relationships/table" Target="../tables/table88.xml"/><Relationship Id="rId4" Type="http://schemas.openxmlformats.org/officeDocument/2006/relationships/table" Target="../tables/table87.xml"/><Relationship Id="rId9"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eachers.ab.ca/sites/default/files/2023-05/JointInterpretationBulletinNo1-2017_25-Aug-17.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3" Type="http://schemas.openxmlformats.org/officeDocument/2006/relationships/table" Target="../tables/table3.xml"/><Relationship Id="rId21" Type="http://schemas.openxmlformats.org/officeDocument/2006/relationships/table" Target="../tables/table21.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 Type="http://schemas.openxmlformats.org/officeDocument/2006/relationships/drawing" Target="../drawings/drawing6.xml"/><Relationship Id="rId16" Type="http://schemas.openxmlformats.org/officeDocument/2006/relationships/table" Target="../tables/table16.xml"/><Relationship Id="rId20" Type="http://schemas.openxmlformats.org/officeDocument/2006/relationships/table" Target="../tables/table20.xml"/><Relationship Id="rId1" Type="http://schemas.openxmlformats.org/officeDocument/2006/relationships/printerSettings" Target="../printerSettings/printerSettings5.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19" Type="http://schemas.openxmlformats.org/officeDocument/2006/relationships/table" Target="../tables/table19.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7.xml"/><Relationship Id="rId13" Type="http://schemas.openxmlformats.org/officeDocument/2006/relationships/table" Target="../tables/table32.xml"/><Relationship Id="rId18" Type="http://schemas.openxmlformats.org/officeDocument/2006/relationships/table" Target="../tables/table37.xml"/><Relationship Id="rId3" Type="http://schemas.openxmlformats.org/officeDocument/2006/relationships/table" Target="../tables/table22.xml"/><Relationship Id="rId21" Type="http://schemas.openxmlformats.org/officeDocument/2006/relationships/table" Target="../tables/table40.xml"/><Relationship Id="rId7" Type="http://schemas.openxmlformats.org/officeDocument/2006/relationships/table" Target="../tables/table26.xml"/><Relationship Id="rId12" Type="http://schemas.openxmlformats.org/officeDocument/2006/relationships/table" Target="../tables/table31.xml"/><Relationship Id="rId17" Type="http://schemas.openxmlformats.org/officeDocument/2006/relationships/table" Target="../tables/table36.xml"/><Relationship Id="rId2" Type="http://schemas.openxmlformats.org/officeDocument/2006/relationships/drawing" Target="../drawings/drawing7.xml"/><Relationship Id="rId16" Type="http://schemas.openxmlformats.org/officeDocument/2006/relationships/table" Target="../tables/table35.xml"/><Relationship Id="rId20" Type="http://schemas.openxmlformats.org/officeDocument/2006/relationships/table" Target="../tables/table39.xml"/><Relationship Id="rId1" Type="http://schemas.openxmlformats.org/officeDocument/2006/relationships/printerSettings" Target="../printerSettings/printerSettings6.bin"/><Relationship Id="rId6" Type="http://schemas.openxmlformats.org/officeDocument/2006/relationships/table" Target="../tables/table25.xml"/><Relationship Id="rId11" Type="http://schemas.openxmlformats.org/officeDocument/2006/relationships/table" Target="../tables/table30.xml"/><Relationship Id="rId5" Type="http://schemas.openxmlformats.org/officeDocument/2006/relationships/table" Target="../tables/table24.xml"/><Relationship Id="rId15" Type="http://schemas.openxmlformats.org/officeDocument/2006/relationships/table" Target="../tables/table34.xml"/><Relationship Id="rId10" Type="http://schemas.openxmlformats.org/officeDocument/2006/relationships/table" Target="../tables/table29.xml"/><Relationship Id="rId19" Type="http://schemas.openxmlformats.org/officeDocument/2006/relationships/table" Target="../tables/table38.xml"/><Relationship Id="rId4" Type="http://schemas.openxmlformats.org/officeDocument/2006/relationships/table" Target="../tables/table23.xml"/><Relationship Id="rId9" Type="http://schemas.openxmlformats.org/officeDocument/2006/relationships/table" Target="../tables/table28.xml"/><Relationship Id="rId14" Type="http://schemas.openxmlformats.org/officeDocument/2006/relationships/table" Target="../tables/table33.xml"/></Relationships>
</file>

<file path=xl/worksheets/_rels/sheet8.xml.rels><?xml version="1.0" encoding="UTF-8" standalone="yes"?>
<Relationships xmlns="http://schemas.openxmlformats.org/package/2006/relationships"><Relationship Id="rId8" Type="http://schemas.openxmlformats.org/officeDocument/2006/relationships/table" Target="../tables/table46.xml"/><Relationship Id="rId13" Type="http://schemas.openxmlformats.org/officeDocument/2006/relationships/table" Target="../tables/table51.xml"/><Relationship Id="rId18" Type="http://schemas.openxmlformats.org/officeDocument/2006/relationships/table" Target="../tables/table56.xml"/><Relationship Id="rId3" Type="http://schemas.openxmlformats.org/officeDocument/2006/relationships/table" Target="../tables/table41.xml"/><Relationship Id="rId21" Type="http://schemas.openxmlformats.org/officeDocument/2006/relationships/table" Target="../tables/table59.xml"/><Relationship Id="rId7" Type="http://schemas.openxmlformats.org/officeDocument/2006/relationships/table" Target="../tables/table45.xml"/><Relationship Id="rId12" Type="http://schemas.openxmlformats.org/officeDocument/2006/relationships/table" Target="../tables/table50.xml"/><Relationship Id="rId17" Type="http://schemas.openxmlformats.org/officeDocument/2006/relationships/table" Target="../tables/table55.xml"/><Relationship Id="rId2" Type="http://schemas.openxmlformats.org/officeDocument/2006/relationships/drawing" Target="../drawings/drawing8.xml"/><Relationship Id="rId16" Type="http://schemas.openxmlformats.org/officeDocument/2006/relationships/table" Target="../tables/table54.xml"/><Relationship Id="rId20" Type="http://schemas.openxmlformats.org/officeDocument/2006/relationships/table" Target="../tables/table58.xml"/><Relationship Id="rId1" Type="http://schemas.openxmlformats.org/officeDocument/2006/relationships/printerSettings" Target="../printerSettings/printerSettings7.bin"/><Relationship Id="rId6" Type="http://schemas.openxmlformats.org/officeDocument/2006/relationships/table" Target="../tables/table44.xml"/><Relationship Id="rId11" Type="http://schemas.openxmlformats.org/officeDocument/2006/relationships/table" Target="../tables/table49.xml"/><Relationship Id="rId5" Type="http://schemas.openxmlformats.org/officeDocument/2006/relationships/table" Target="../tables/table43.xml"/><Relationship Id="rId15" Type="http://schemas.openxmlformats.org/officeDocument/2006/relationships/table" Target="../tables/table53.xml"/><Relationship Id="rId10" Type="http://schemas.openxmlformats.org/officeDocument/2006/relationships/table" Target="../tables/table48.xml"/><Relationship Id="rId19" Type="http://schemas.openxmlformats.org/officeDocument/2006/relationships/table" Target="../tables/table57.xml"/><Relationship Id="rId4" Type="http://schemas.openxmlformats.org/officeDocument/2006/relationships/table" Target="../tables/table42.xml"/><Relationship Id="rId9" Type="http://schemas.openxmlformats.org/officeDocument/2006/relationships/table" Target="../tables/table47.xml"/><Relationship Id="rId14" Type="http://schemas.openxmlformats.org/officeDocument/2006/relationships/table" Target="../tables/table52.xml"/></Relationships>
</file>

<file path=xl/worksheets/_rels/sheet9.xml.rels><?xml version="1.0" encoding="UTF-8" standalone="yes"?>
<Relationships xmlns="http://schemas.openxmlformats.org/package/2006/relationships"><Relationship Id="rId8" Type="http://schemas.openxmlformats.org/officeDocument/2006/relationships/table" Target="../tables/table65.xml"/><Relationship Id="rId13" Type="http://schemas.openxmlformats.org/officeDocument/2006/relationships/table" Target="../tables/table70.xml"/><Relationship Id="rId18" Type="http://schemas.openxmlformats.org/officeDocument/2006/relationships/table" Target="../tables/table75.xml"/><Relationship Id="rId3" Type="http://schemas.openxmlformats.org/officeDocument/2006/relationships/table" Target="../tables/table60.xml"/><Relationship Id="rId21" Type="http://schemas.openxmlformats.org/officeDocument/2006/relationships/table" Target="../tables/table78.xml"/><Relationship Id="rId7" Type="http://schemas.openxmlformats.org/officeDocument/2006/relationships/table" Target="../tables/table64.xml"/><Relationship Id="rId12" Type="http://schemas.openxmlformats.org/officeDocument/2006/relationships/table" Target="../tables/table69.xml"/><Relationship Id="rId17" Type="http://schemas.openxmlformats.org/officeDocument/2006/relationships/table" Target="../tables/table74.xml"/><Relationship Id="rId2" Type="http://schemas.openxmlformats.org/officeDocument/2006/relationships/drawing" Target="../drawings/drawing9.xml"/><Relationship Id="rId16" Type="http://schemas.openxmlformats.org/officeDocument/2006/relationships/table" Target="../tables/table73.xml"/><Relationship Id="rId20" Type="http://schemas.openxmlformats.org/officeDocument/2006/relationships/table" Target="../tables/table77.xml"/><Relationship Id="rId1" Type="http://schemas.openxmlformats.org/officeDocument/2006/relationships/printerSettings" Target="../printerSettings/printerSettings8.bin"/><Relationship Id="rId6" Type="http://schemas.openxmlformats.org/officeDocument/2006/relationships/table" Target="../tables/table63.xml"/><Relationship Id="rId11" Type="http://schemas.openxmlformats.org/officeDocument/2006/relationships/table" Target="../tables/table68.xml"/><Relationship Id="rId5" Type="http://schemas.openxmlformats.org/officeDocument/2006/relationships/table" Target="../tables/table62.xml"/><Relationship Id="rId15" Type="http://schemas.openxmlformats.org/officeDocument/2006/relationships/table" Target="../tables/table72.xml"/><Relationship Id="rId10" Type="http://schemas.openxmlformats.org/officeDocument/2006/relationships/table" Target="../tables/table67.xml"/><Relationship Id="rId19" Type="http://schemas.openxmlformats.org/officeDocument/2006/relationships/table" Target="../tables/table76.xml"/><Relationship Id="rId4" Type="http://schemas.openxmlformats.org/officeDocument/2006/relationships/table" Target="../tables/table61.xml"/><Relationship Id="rId9" Type="http://schemas.openxmlformats.org/officeDocument/2006/relationships/table" Target="../tables/table66.xml"/><Relationship Id="rId14" Type="http://schemas.openxmlformats.org/officeDocument/2006/relationships/table" Target="../tables/table7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0915-B8A2-46A2-AD08-3A9832A0CB67}">
  <dimension ref="B2:K31"/>
  <sheetViews>
    <sheetView showGridLines="0" workbookViewId="0">
      <selection activeCell="C7" sqref="C7"/>
    </sheetView>
  </sheetViews>
  <sheetFormatPr defaultRowHeight="14.4" x14ac:dyDescent="0.3"/>
  <cols>
    <col min="2" max="2" width="65.44140625" customWidth="1"/>
    <col min="3" max="3" width="32.33203125" customWidth="1"/>
    <col min="5" max="5" width="9" hidden="1" customWidth="1"/>
    <col min="6" max="6" width="17.109375" hidden="1" customWidth="1"/>
    <col min="7" max="7" width="15.77734375" customWidth="1"/>
    <col min="8" max="8" width="15.33203125" customWidth="1"/>
  </cols>
  <sheetData>
    <row r="2" spans="2:11" ht="23.4" x14ac:dyDescent="0.3">
      <c r="G2" s="153" t="str">
        <f>IF(SUM(E10:E26)=16,"Ready, proceed to calendar set-up", "Missing Information")</f>
        <v>Missing Information</v>
      </c>
      <c r="H2" s="153"/>
      <c r="I2" s="153"/>
      <c r="J2" s="153"/>
      <c r="K2" s="153"/>
    </row>
    <row r="3" spans="2:11" ht="18" x14ac:dyDescent="0.3">
      <c r="G3" s="154" t="str">
        <f>IF(SUM(F16:F20)&gt;0,"There is something wrong with the dates provided.","")</f>
        <v/>
      </c>
      <c r="H3" s="154"/>
      <c r="I3" s="154"/>
      <c r="J3" s="154"/>
      <c r="K3" s="154"/>
    </row>
    <row r="4" spans="2:11" x14ac:dyDescent="0.3">
      <c r="G4" s="141"/>
      <c r="H4" s="141"/>
      <c r="I4" s="141"/>
      <c r="J4" s="141"/>
      <c r="K4" s="141"/>
    </row>
    <row r="6" spans="2:11" ht="15" thickBot="1" x14ac:dyDescent="0.35">
      <c r="B6" s="117" t="s">
        <v>4085</v>
      </c>
    </row>
    <row r="7" spans="2:11" x14ac:dyDescent="0.3">
      <c r="B7" s="87" t="s">
        <v>0</v>
      </c>
      <c r="C7" s="95"/>
    </row>
    <row r="8" spans="2:11" x14ac:dyDescent="0.3">
      <c r="B8" s="127" t="s">
        <v>4069</v>
      </c>
      <c r="C8" s="126"/>
    </row>
    <row r="9" spans="2:11" x14ac:dyDescent="0.3">
      <c r="B9" s="127" t="s">
        <v>4070</v>
      </c>
      <c r="C9" s="126"/>
      <c r="E9" t="s">
        <v>4098</v>
      </c>
    </row>
    <row r="10" spans="2:11" x14ac:dyDescent="0.3">
      <c r="B10" s="88" t="s">
        <v>2</v>
      </c>
      <c r="C10" s="96"/>
      <c r="E10">
        <f>IF(ISBLANK(FTE),0,1)</f>
        <v>0</v>
      </c>
    </row>
    <row r="11" spans="2:11" x14ac:dyDescent="0.3">
      <c r="B11" s="88" t="s">
        <v>4087</v>
      </c>
      <c r="C11" s="136"/>
      <c r="E11">
        <f>IF(ISBLANK(C11),0,1)</f>
        <v>0</v>
      </c>
    </row>
    <row r="12" spans="2:11" ht="15" thickBot="1" x14ac:dyDescent="0.35">
      <c r="B12" s="118" t="s">
        <v>4107</v>
      </c>
      <c r="C12" s="96"/>
    </row>
    <row r="13" spans="2:11" x14ac:dyDescent="0.3">
      <c r="B13" s="149" t="s">
        <v>4071</v>
      </c>
      <c r="C13" s="129"/>
      <c r="E13">
        <f>IF(ISBLANK(C13),0,1)</f>
        <v>0</v>
      </c>
    </row>
    <row r="14" spans="2:11" x14ac:dyDescent="0.3">
      <c r="B14" s="128" t="s">
        <v>4080</v>
      </c>
      <c r="C14" s="130"/>
      <c r="E14">
        <f>IF(ISBLANK(part_time_days),0,1)</f>
        <v>0</v>
      </c>
    </row>
    <row r="15" spans="2:11" x14ac:dyDescent="0.3">
      <c r="B15" s="128" t="s">
        <v>4089</v>
      </c>
      <c r="C15" s="138"/>
      <c r="E15">
        <f>IF(ISBLANK(First_Operational_Day),0,1)</f>
        <v>0</v>
      </c>
      <c r="F15" s="144" t="s">
        <v>4097</v>
      </c>
    </row>
    <row r="16" spans="2:11" x14ac:dyDescent="0.3">
      <c r="B16" s="128" t="s">
        <v>4090</v>
      </c>
      <c r="C16" s="138"/>
      <c r="E16">
        <f>IF(ISBLANK(First_Instructional_Day1),0,1)</f>
        <v>0</v>
      </c>
      <c r="F16">
        <f>IF(ISBLANK(First_Instructional_Day1),0,IF(First_Instructional_Day1&gt;=First_Operational_Day,0,1))</f>
        <v>0</v>
      </c>
    </row>
    <row r="17" spans="2:6" x14ac:dyDescent="0.3">
      <c r="B17" s="132" t="s">
        <v>4091</v>
      </c>
      <c r="C17" s="138"/>
      <c r="E17">
        <f>IF(C13=1,1,IF(AND(C13&gt;=2,ISBLANK(First_Instructional_Day2)),0,1))</f>
        <v>1</v>
      </c>
      <c r="F17">
        <f>IF(ISBLANK(First_Instructional_Day2),0,IF(First_Instructional_Day2&gt;First_Instructional_Day1,0,1))</f>
        <v>0</v>
      </c>
    </row>
    <row r="18" spans="2:6" x14ac:dyDescent="0.3">
      <c r="B18" s="132" t="s">
        <v>4092</v>
      </c>
      <c r="C18" s="138"/>
      <c r="E18">
        <f>IF(C13=1,1,IF(AND(C13&gt;=3,ISBLANK(First_Instructional_Day3)),0,1))</f>
        <v>1</v>
      </c>
      <c r="F18">
        <f>IF(ISBLANK(First_Instructional_Day3),0,IF(First_Instructional_Day3&gt;First_Instructional_Day2,0,1))</f>
        <v>0</v>
      </c>
    </row>
    <row r="19" spans="2:6" x14ac:dyDescent="0.3">
      <c r="B19" s="132" t="s">
        <v>4093</v>
      </c>
      <c r="C19" s="139"/>
      <c r="E19">
        <f>IF(C13=1,1,IF(AND(C13=4,ISBLANK(First_Instructional_Day4)),0,1))</f>
        <v>1</v>
      </c>
      <c r="F19">
        <f>IF(ISBLANK(First_Instructional_Day4),0,IF(First_Instructional_Day4&gt;First_Instructional_Day3,0,1))</f>
        <v>0</v>
      </c>
    </row>
    <row r="20" spans="2:6" x14ac:dyDescent="0.3">
      <c r="B20" s="128" t="s">
        <v>4094</v>
      </c>
      <c r="C20" s="138"/>
      <c r="E20">
        <f>IF(ISBLANK(Last_Operational_Day),0,1)</f>
        <v>0</v>
      </c>
      <c r="F20">
        <f>IF(ISBLANK(Last_Operational_Day),0,IF(Last_Operational_Day&gt;First_Operational_Day,0,1))</f>
        <v>0</v>
      </c>
    </row>
    <row r="21" spans="2:6" x14ac:dyDescent="0.3">
      <c r="B21" s="128" t="s">
        <v>4095</v>
      </c>
      <c r="C21" s="131"/>
      <c r="E21">
        <f>IF(ISBLANK(Rotation),0,1)</f>
        <v>0</v>
      </c>
    </row>
    <row r="22" spans="2:6" x14ac:dyDescent="0.3">
      <c r="B22" s="128" t="s">
        <v>4072</v>
      </c>
      <c r="C22" s="130"/>
      <c r="E22">
        <f>IF(ISBLANK(C22),0,1)</f>
        <v>0</v>
      </c>
    </row>
    <row r="23" spans="2:6" x14ac:dyDescent="0.3">
      <c r="B23" s="128" t="s">
        <v>4073</v>
      </c>
      <c r="C23" s="130"/>
      <c r="E23">
        <f>IF(ISBLANK(C22),0,1)</f>
        <v>0</v>
      </c>
    </row>
    <row r="24" spans="2:6" x14ac:dyDescent="0.3">
      <c r="B24" s="128" t="s">
        <v>4096</v>
      </c>
      <c r="C24" s="130"/>
      <c r="E24">
        <f>IF(AND(C22="Yes",ISBLANK(C23)),0,1)</f>
        <v>1</v>
      </c>
    </row>
    <row r="25" spans="2:6" x14ac:dyDescent="0.3">
      <c r="B25" s="128" t="s">
        <v>4074</v>
      </c>
      <c r="C25" s="130"/>
      <c r="E25">
        <f>IF(ISBLANK(C24),0,1)</f>
        <v>0</v>
      </c>
    </row>
    <row r="26" spans="2:6" x14ac:dyDescent="0.3">
      <c r="B26" s="128" t="s">
        <v>4113</v>
      </c>
      <c r="C26" s="130"/>
      <c r="E26">
        <f>IF(AND(C24="Yes",ISBLANK(C25)),0,1)</f>
        <v>1</v>
      </c>
    </row>
    <row r="27" spans="2:6" ht="15" thickBot="1" x14ac:dyDescent="0.35">
      <c r="B27" s="110" t="s">
        <v>4112</v>
      </c>
      <c r="C27" s="150"/>
    </row>
    <row r="29" spans="2:6" x14ac:dyDescent="0.3">
      <c r="B29" s="93" t="str">
        <f>IF(SUM(E10:E26)=16,"", "Cells shaded red require input")</f>
        <v>Cells shaded red require input</v>
      </c>
    </row>
    <row r="31" spans="2:6" x14ac:dyDescent="0.3">
      <c r="B31" s="146" t="s">
        <v>4103</v>
      </c>
    </row>
  </sheetData>
  <sheetProtection algorithmName="SHA-512" hashValue="kXzRQm9jXZL+YRKseH4TmzCvtCdIi1/HTkKXsJrMb+uf04QzMjUFqajxpwV1A7mcmvwUZFa0MldQ1gu94sZ5Cg==" saltValue="AuGK2g6qRdUl8VCnfVL5dA==" spinCount="100000" sheet="1" selectLockedCells="1"/>
  <mergeCells count="2">
    <mergeCell ref="G2:K2"/>
    <mergeCell ref="G3:K3"/>
  </mergeCells>
  <conditionalFormatting sqref="B17">
    <cfRule type="expression" dxfId="120" priority="32">
      <formula>$C$13&gt;=2</formula>
    </cfRule>
  </conditionalFormatting>
  <conditionalFormatting sqref="B19">
    <cfRule type="expression" dxfId="119" priority="33">
      <formula>$C$13=4</formula>
    </cfRule>
  </conditionalFormatting>
  <conditionalFormatting sqref="B23">
    <cfRule type="expression" dxfId="118" priority="39">
      <formula>($C$22&lt;&gt;"Yes")</formula>
    </cfRule>
  </conditionalFormatting>
  <conditionalFormatting sqref="B25">
    <cfRule type="expression" dxfId="117" priority="35">
      <formula>($C$24&lt;&gt;"Yes")</formula>
    </cfRule>
  </conditionalFormatting>
  <conditionalFormatting sqref="B31">
    <cfRule type="expression" dxfId="116" priority="2">
      <formula>$G$2="Ready, proceed to calendar set-up"</formula>
    </cfRule>
  </conditionalFormatting>
  <conditionalFormatting sqref="B18:C18">
    <cfRule type="expression" dxfId="115" priority="34">
      <formula>$C$13&gt;=3</formula>
    </cfRule>
  </conditionalFormatting>
  <conditionalFormatting sqref="C10">
    <cfRule type="expression" dxfId="114" priority="12">
      <formula>$E$10=0</formula>
    </cfRule>
  </conditionalFormatting>
  <conditionalFormatting sqref="C11">
    <cfRule type="expression" dxfId="113" priority="13">
      <formula>$E$11=0</formula>
    </cfRule>
  </conditionalFormatting>
  <conditionalFormatting sqref="C13">
    <cfRule type="expression" dxfId="112" priority="28">
      <formula>$E$13=0</formula>
    </cfRule>
  </conditionalFormatting>
  <conditionalFormatting sqref="C14">
    <cfRule type="expression" dxfId="111" priority="27">
      <formula>$E$14=0</formula>
    </cfRule>
  </conditionalFormatting>
  <conditionalFormatting sqref="C16">
    <cfRule type="expression" dxfId="110" priority="1">
      <formula>$E$16=0</formula>
    </cfRule>
  </conditionalFormatting>
  <conditionalFormatting sqref="C17">
    <cfRule type="expression" dxfId="109" priority="908">
      <formula>$E$17=0</formula>
    </cfRule>
  </conditionalFormatting>
  <conditionalFormatting sqref="C18">
    <cfRule type="expression" dxfId="108" priority="910">
      <formula>$E$18=0</formula>
    </cfRule>
  </conditionalFormatting>
  <conditionalFormatting sqref="C19">
    <cfRule type="expression" dxfId="107" priority="912">
      <formula>$E$19=0</formula>
    </cfRule>
  </conditionalFormatting>
  <conditionalFormatting sqref="C20">
    <cfRule type="expression" dxfId="106" priority="914">
      <formula>$E$20=0</formula>
    </cfRule>
  </conditionalFormatting>
  <conditionalFormatting sqref="C21">
    <cfRule type="expression" dxfId="105" priority="20">
      <formula>$E$21=0</formula>
    </cfRule>
  </conditionalFormatting>
  <conditionalFormatting sqref="C22">
    <cfRule type="expression" dxfId="104" priority="899">
      <formula>$E$22=0</formula>
    </cfRule>
  </conditionalFormatting>
  <conditionalFormatting sqref="C23">
    <cfRule type="expression" dxfId="103" priority="900">
      <formula>$E$24=0</formula>
    </cfRule>
    <cfRule type="expression" dxfId="102" priority="901">
      <formula>($C$22="No")</formula>
    </cfRule>
  </conditionalFormatting>
  <conditionalFormatting sqref="C24:C25">
    <cfRule type="expression" dxfId="101" priority="902">
      <formula>$E$25=0</formula>
    </cfRule>
  </conditionalFormatting>
  <conditionalFormatting sqref="C25">
    <cfRule type="expression" dxfId="100" priority="903">
      <formula>$E$26=0</formula>
    </cfRule>
    <cfRule type="expression" dxfId="99" priority="904">
      <formula>($C$24="No")</formula>
    </cfRule>
  </conditionalFormatting>
  <conditionalFormatting sqref="G2">
    <cfRule type="expression" dxfId="98" priority="30">
      <formula>$G$2&lt;&gt;"Ready, proceed to calendar set-up"</formula>
    </cfRule>
    <cfRule type="expression" dxfId="97" priority="31">
      <formula>$G$2="Ready, proceed to calendar set-up"</formula>
    </cfRule>
  </conditionalFormatting>
  <conditionalFormatting sqref="G3">
    <cfRule type="expression" dxfId="96" priority="3">
      <formula>IF(SUM($F$16:$F$20)&gt;0,TRUE,FALSE)</formula>
    </cfRule>
  </conditionalFormatting>
  <dataValidations count="6">
    <dataValidation type="list" allowBlank="1" showInputMessage="1" showErrorMessage="1" sqref="C22 C14 C24" xr:uid="{8EA494B3-0BF0-4CCB-AE54-E810E8711C76}">
      <formula1>"Yes, No"</formula1>
    </dataValidation>
    <dataValidation type="list" allowBlank="1" showInputMessage="1" showErrorMessage="1" sqref="C25 C25" xr:uid="{47785D67-2A93-474F-9932-F8636744874A}">
      <formula1>"1,2,3"</formula1>
    </dataValidation>
    <dataValidation type="list" allowBlank="1" showInputMessage="1" showErrorMessage="1" sqref="C13" xr:uid="{2E77EAB3-EE35-4C1C-9881-7DC79D5CB98B}">
      <formula1>"1,2,3,4"</formula1>
    </dataValidation>
    <dataValidation type="date" allowBlank="1" showInputMessage="1" showErrorMessage="1" error="Enter dates as YYYY-mm-dd (such as 2023-08-20)" sqref="C15" xr:uid="{194A2745-AE4C-456A-8F73-CC6DC9D6C25C}">
      <formula1>43831</formula1>
      <formula2>54789</formula2>
    </dataValidation>
    <dataValidation type="date" operator="greaterThanOrEqual" allowBlank="1" showInputMessage="1" showErrorMessage="1" error="Enter dates as YYYY-mm-dd (such as 2023-08-20)" sqref="C16:C20" xr:uid="{4CB94778-BA88-4BEB-88C4-48A1C2681962}">
      <formula1>43831</formula1>
    </dataValidation>
    <dataValidation type="list" allowBlank="1" showInputMessage="1" showErrorMessage="1" sqref="C23" xr:uid="{9FC71E6D-17D0-496E-B871-4F0BFF1707CF}">
      <formula1>"1,2,3,4,5,6"</formula1>
    </dataValidation>
  </dataValidations>
  <hyperlinks>
    <hyperlink ref="B31" location="Calendar!A1" display="Proceed to Calendar Setup" xr:uid="{C969FD19-5C8D-4F6E-B891-8AD9E1E0F3E4}"/>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75F1BFE-F8FD-4CF5-8826-B48D15C3D02D}">
          <x14:formula1>
            <xm:f>_xlfn.ANCHORARRAY(Parameters!$I$25)</xm:f>
          </x14:formula1>
          <xm:sqref>C21</xm:sqref>
        </x14:dataValidation>
        <x14:dataValidation type="list" allowBlank="1" showInputMessage="1" showErrorMessage="1" xr:uid="{5AE9C634-511D-4DE3-A13E-D1847670AF61}">
          <x14:formula1>
            <xm:f>_xlfn.ANCHORARRAY(Schools!$H$2)</xm:f>
          </x14:formula1>
          <xm:sqref>C8</xm:sqref>
        </x14:dataValidation>
        <x14:dataValidation type="list" allowBlank="1" showInputMessage="1" showErrorMessage="1" xr:uid="{F3114CEE-8F2F-487A-9069-BDA22FE13F22}">
          <x14:formula1>
            <xm:f>_xlfn.ANCHORARRAY(Schools!$J$2)</xm:f>
          </x14:formula1>
          <xm:sqref>C9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1598-9142-4519-95BF-2597C39E2633}">
  <dimension ref="A1:J2057"/>
  <sheetViews>
    <sheetView topLeftCell="A2030" workbookViewId="0">
      <selection activeCell="B2056" sqref="B2056"/>
    </sheetView>
  </sheetViews>
  <sheetFormatPr defaultRowHeight="14.4" x14ac:dyDescent="0.3"/>
  <cols>
    <col min="1" max="1" width="11.77734375" bestFit="1" customWidth="1"/>
    <col min="2" max="2" width="57.33203125" bestFit="1" customWidth="1"/>
    <col min="3" max="3" width="10.6640625" bestFit="1" customWidth="1"/>
    <col min="4" max="4" width="58" bestFit="1" customWidth="1"/>
    <col min="8" max="8" width="57.33203125" bestFit="1" customWidth="1"/>
  </cols>
  <sheetData>
    <row r="1" spans="1:10" x14ac:dyDescent="0.3">
      <c r="A1" t="s">
        <v>54</v>
      </c>
      <c r="B1" t="s">
        <v>55</v>
      </c>
      <c r="C1" t="s">
        <v>56</v>
      </c>
      <c r="D1" t="s">
        <v>57</v>
      </c>
    </row>
    <row r="2" spans="1:10" x14ac:dyDescent="0.3">
      <c r="A2" t="s">
        <v>4237</v>
      </c>
      <c r="B2" t="s">
        <v>4238</v>
      </c>
      <c r="C2" t="s">
        <v>4239</v>
      </c>
      <c r="D2" t="s">
        <v>4240</v>
      </c>
      <c r="H2" t="str" cm="1">
        <f t="array" ref="H2:H67">_xlfn.UNIQUE(Schools[AuthName])</f>
        <v>Almadina School Society</v>
      </c>
      <c r="J2" t="str" cm="1">
        <f t="array" ref="J2">IFERROR(_xlfn._xlws.FILTER(Schools[SchName],Schools[AuthName]='START HERE'!C8),"Select school board first")</f>
        <v>Select school board first</v>
      </c>
    </row>
    <row r="3" spans="1:10" x14ac:dyDescent="0.3">
      <c r="A3" t="s">
        <v>4237</v>
      </c>
      <c r="B3" t="s">
        <v>4238</v>
      </c>
      <c r="C3" t="s">
        <v>4241</v>
      </c>
      <c r="D3" t="s">
        <v>4242</v>
      </c>
      <c r="H3" t="str">
        <v>Aurora School Ltd.</v>
      </c>
    </row>
    <row r="4" spans="1:10" x14ac:dyDescent="0.3">
      <c r="A4" t="s">
        <v>4237</v>
      </c>
      <c r="B4" t="s">
        <v>4238</v>
      </c>
      <c r="C4" t="s">
        <v>4243</v>
      </c>
      <c r="D4" t="s">
        <v>4244</v>
      </c>
      <c r="H4" t="str">
        <v>Boyle Street Education Centre</v>
      </c>
    </row>
    <row r="5" spans="1:10" x14ac:dyDescent="0.3">
      <c r="A5" t="s">
        <v>4245</v>
      </c>
      <c r="B5" t="s">
        <v>4246</v>
      </c>
      <c r="C5" t="s">
        <v>4247</v>
      </c>
      <c r="D5" t="s">
        <v>4248</v>
      </c>
      <c r="H5" t="str">
        <v>New Horizons Charter School Society</v>
      </c>
    </row>
    <row r="6" spans="1:10" x14ac:dyDescent="0.3">
      <c r="A6" t="s">
        <v>4245</v>
      </c>
      <c r="B6" t="s">
        <v>4246</v>
      </c>
      <c r="C6" t="s">
        <v>4249</v>
      </c>
      <c r="D6" t="s">
        <v>4250</v>
      </c>
      <c r="H6" t="str">
        <v>The Aspen View School Division</v>
      </c>
    </row>
    <row r="7" spans="1:10" x14ac:dyDescent="0.3">
      <c r="A7" t="s">
        <v>4245</v>
      </c>
      <c r="B7" t="s">
        <v>4246</v>
      </c>
      <c r="C7" t="s">
        <v>4251</v>
      </c>
      <c r="D7" t="s">
        <v>4252</v>
      </c>
      <c r="H7" t="str">
        <v xml:space="preserve">The Battle River School Division </v>
      </c>
    </row>
    <row r="8" spans="1:10" x14ac:dyDescent="0.3">
      <c r="A8" t="s">
        <v>4253</v>
      </c>
      <c r="B8" t="s">
        <v>4254</v>
      </c>
      <c r="C8" t="s">
        <v>4255</v>
      </c>
      <c r="D8" t="s">
        <v>4254</v>
      </c>
      <c r="H8" t="str">
        <v xml:space="preserve">The Black Gold School Division </v>
      </c>
    </row>
    <row r="9" spans="1:10" x14ac:dyDescent="0.3">
      <c r="A9" t="s">
        <v>4256</v>
      </c>
      <c r="B9" t="s">
        <v>4257</v>
      </c>
      <c r="C9" t="s">
        <v>4258</v>
      </c>
      <c r="D9" t="s">
        <v>4259</v>
      </c>
      <c r="H9" t="str">
        <v>The Buffalo Trail School Division</v>
      </c>
    </row>
    <row r="10" spans="1:10" x14ac:dyDescent="0.3">
      <c r="A10" t="s">
        <v>58</v>
      </c>
      <c r="B10" t="s">
        <v>59</v>
      </c>
      <c r="C10" t="s">
        <v>60</v>
      </c>
      <c r="D10" t="s">
        <v>61</v>
      </c>
      <c r="H10" t="str">
        <v>The Calgary Roman Catholic Separate School Division</v>
      </c>
    </row>
    <row r="11" spans="1:10" x14ac:dyDescent="0.3">
      <c r="A11" t="s">
        <v>58</v>
      </c>
      <c r="B11" t="s">
        <v>59</v>
      </c>
      <c r="C11" t="s">
        <v>62</v>
      </c>
      <c r="D11" t="s">
        <v>63</v>
      </c>
      <c r="H11" t="str">
        <v>The Calgary School Division</v>
      </c>
    </row>
    <row r="12" spans="1:10" x14ac:dyDescent="0.3">
      <c r="A12" t="s">
        <v>58</v>
      </c>
      <c r="B12" t="s">
        <v>59</v>
      </c>
      <c r="C12" t="s">
        <v>64</v>
      </c>
      <c r="D12" t="s">
        <v>65</v>
      </c>
      <c r="H12" t="str">
        <v>The Canadian Rockies School Division</v>
      </c>
    </row>
    <row r="13" spans="1:10" x14ac:dyDescent="0.3">
      <c r="A13" t="s">
        <v>58</v>
      </c>
      <c r="B13" t="s">
        <v>59</v>
      </c>
      <c r="C13" t="s">
        <v>66</v>
      </c>
      <c r="D13" t="s">
        <v>67</v>
      </c>
      <c r="H13" t="str">
        <v>The Chinook's Edge School Division</v>
      </c>
    </row>
    <row r="14" spans="1:10" x14ac:dyDescent="0.3">
      <c r="A14" t="s">
        <v>58</v>
      </c>
      <c r="B14" t="s">
        <v>59</v>
      </c>
      <c r="C14" t="s">
        <v>68</v>
      </c>
      <c r="D14" t="s">
        <v>69</v>
      </c>
      <c r="H14" t="str">
        <v>The Christ the Redeemer Catholic Separate School Division</v>
      </c>
    </row>
    <row r="15" spans="1:10" x14ac:dyDescent="0.3">
      <c r="A15" t="s">
        <v>58</v>
      </c>
      <c r="B15" t="s">
        <v>59</v>
      </c>
      <c r="C15" t="s">
        <v>70</v>
      </c>
      <c r="D15" t="s">
        <v>71</v>
      </c>
      <c r="H15" t="str">
        <v>The Clearview School Division</v>
      </c>
    </row>
    <row r="16" spans="1:10" x14ac:dyDescent="0.3">
      <c r="A16" t="s">
        <v>58</v>
      </c>
      <c r="B16" t="s">
        <v>59</v>
      </c>
      <c r="C16" t="s">
        <v>72</v>
      </c>
      <c r="D16" t="s">
        <v>73</v>
      </c>
      <c r="H16" t="str">
        <v>The East Central Alberta Catholic Separate School Division</v>
      </c>
    </row>
    <row r="17" spans="1:8" x14ac:dyDescent="0.3">
      <c r="A17" t="s">
        <v>58</v>
      </c>
      <c r="B17" t="s">
        <v>59</v>
      </c>
      <c r="C17" t="s">
        <v>74</v>
      </c>
      <c r="D17" t="s">
        <v>75</v>
      </c>
      <c r="H17" t="str">
        <v>The East Central Francophone Education Region</v>
      </c>
    </row>
    <row r="18" spans="1:8" x14ac:dyDescent="0.3">
      <c r="A18" t="s">
        <v>58</v>
      </c>
      <c r="B18" t="s">
        <v>59</v>
      </c>
      <c r="C18" t="s">
        <v>76</v>
      </c>
      <c r="D18" t="s">
        <v>77</v>
      </c>
      <c r="H18" t="str">
        <v>The Edmonton Catholic Separate School Division</v>
      </c>
    </row>
    <row r="19" spans="1:8" x14ac:dyDescent="0.3">
      <c r="A19" t="s">
        <v>58</v>
      </c>
      <c r="B19" t="s">
        <v>59</v>
      </c>
      <c r="C19" t="s">
        <v>78</v>
      </c>
      <c r="D19" t="s">
        <v>79</v>
      </c>
      <c r="H19" t="str">
        <v>The Edmonton School Division</v>
      </c>
    </row>
    <row r="20" spans="1:8" x14ac:dyDescent="0.3">
      <c r="A20" t="s">
        <v>58</v>
      </c>
      <c r="B20" t="s">
        <v>59</v>
      </c>
      <c r="C20" t="s">
        <v>80</v>
      </c>
      <c r="D20" t="s">
        <v>81</v>
      </c>
      <c r="H20" t="str">
        <v>The Elk Island Catholic Separate School Division</v>
      </c>
    </row>
    <row r="21" spans="1:8" x14ac:dyDescent="0.3">
      <c r="A21" t="s">
        <v>58</v>
      </c>
      <c r="B21" t="s">
        <v>59</v>
      </c>
      <c r="C21" t="s">
        <v>82</v>
      </c>
      <c r="D21" t="s">
        <v>83</v>
      </c>
      <c r="H21" t="str">
        <v>The Elk Island School Division</v>
      </c>
    </row>
    <row r="22" spans="1:8" x14ac:dyDescent="0.3">
      <c r="A22" t="s">
        <v>58</v>
      </c>
      <c r="B22" t="s">
        <v>59</v>
      </c>
      <c r="C22" t="s">
        <v>84</v>
      </c>
      <c r="D22" t="s">
        <v>85</v>
      </c>
      <c r="H22" t="str">
        <v>The Evergreen Catholic Separate School Division</v>
      </c>
    </row>
    <row r="23" spans="1:8" x14ac:dyDescent="0.3">
      <c r="A23" t="s">
        <v>58</v>
      </c>
      <c r="B23" t="s">
        <v>59</v>
      </c>
      <c r="C23" t="s">
        <v>86</v>
      </c>
      <c r="D23" t="s">
        <v>87</v>
      </c>
      <c r="H23" t="str">
        <v>The Foothills School Division</v>
      </c>
    </row>
    <row r="24" spans="1:8" x14ac:dyDescent="0.3">
      <c r="A24" t="s">
        <v>58</v>
      </c>
      <c r="B24" t="s">
        <v>59</v>
      </c>
      <c r="C24" t="s">
        <v>88</v>
      </c>
      <c r="D24" t="s">
        <v>89</v>
      </c>
      <c r="H24" t="str">
        <v>The Fort McMurray Roman Catholic Separate School Division</v>
      </c>
    </row>
    <row r="25" spans="1:8" x14ac:dyDescent="0.3">
      <c r="A25" t="s">
        <v>58</v>
      </c>
      <c r="B25" t="s">
        <v>59</v>
      </c>
      <c r="C25" t="s">
        <v>90</v>
      </c>
      <c r="D25" t="s">
        <v>91</v>
      </c>
      <c r="H25" t="str">
        <v>The Fort McMurray School Division</v>
      </c>
    </row>
    <row r="26" spans="1:8" x14ac:dyDescent="0.3">
      <c r="A26" t="s">
        <v>58</v>
      </c>
      <c r="B26" t="s">
        <v>59</v>
      </c>
      <c r="C26" t="s">
        <v>92</v>
      </c>
      <c r="D26" t="s">
        <v>93</v>
      </c>
      <c r="H26" t="str">
        <v>The Fort Vermilion School Division</v>
      </c>
    </row>
    <row r="27" spans="1:8" x14ac:dyDescent="0.3">
      <c r="A27" t="s">
        <v>58</v>
      </c>
      <c r="B27" t="s">
        <v>59</v>
      </c>
      <c r="C27" t="s">
        <v>94</v>
      </c>
      <c r="D27" t="s">
        <v>95</v>
      </c>
      <c r="H27" t="str">
        <v>The Golden Hills School Division</v>
      </c>
    </row>
    <row r="28" spans="1:8" x14ac:dyDescent="0.3">
      <c r="A28" t="s">
        <v>96</v>
      </c>
      <c r="B28" t="s">
        <v>97</v>
      </c>
      <c r="C28" t="s">
        <v>98</v>
      </c>
      <c r="D28" t="s">
        <v>99</v>
      </c>
      <c r="H28" t="str">
        <v>The Grande Prairie Roman Catholic Separate School Division</v>
      </c>
    </row>
    <row r="29" spans="1:8" x14ac:dyDescent="0.3">
      <c r="A29" t="s">
        <v>96</v>
      </c>
      <c r="B29" t="s">
        <v>97</v>
      </c>
      <c r="C29" t="s">
        <v>100</v>
      </c>
      <c r="D29" t="s">
        <v>101</v>
      </c>
      <c r="H29" t="str">
        <v>The Grande Prairie School Division</v>
      </c>
    </row>
    <row r="30" spans="1:8" x14ac:dyDescent="0.3">
      <c r="A30" t="s">
        <v>96</v>
      </c>
      <c r="B30" t="s">
        <v>97</v>
      </c>
      <c r="C30" t="s">
        <v>102</v>
      </c>
      <c r="D30" t="s">
        <v>103</v>
      </c>
      <c r="H30" t="str">
        <v>The Grande Yellowhead School Division</v>
      </c>
    </row>
    <row r="31" spans="1:8" x14ac:dyDescent="0.3">
      <c r="A31" t="s">
        <v>96</v>
      </c>
      <c r="B31" t="s">
        <v>97</v>
      </c>
      <c r="C31" t="s">
        <v>104</v>
      </c>
      <c r="D31" t="s">
        <v>105</v>
      </c>
      <c r="H31" t="str">
        <v>The Grasslands School Division</v>
      </c>
    </row>
    <row r="32" spans="1:8" x14ac:dyDescent="0.3">
      <c r="A32" t="s">
        <v>96</v>
      </c>
      <c r="B32" t="s">
        <v>97</v>
      </c>
      <c r="C32" t="s">
        <v>106</v>
      </c>
      <c r="D32" t="s">
        <v>107</v>
      </c>
      <c r="H32" t="str">
        <v>The Greater North Central Francophone Education Region</v>
      </c>
    </row>
    <row r="33" spans="1:8" x14ac:dyDescent="0.3">
      <c r="A33" t="s">
        <v>96</v>
      </c>
      <c r="B33" t="s">
        <v>97</v>
      </c>
      <c r="C33" t="s">
        <v>108</v>
      </c>
      <c r="D33" t="s">
        <v>109</v>
      </c>
      <c r="H33" t="str">
        <v>The Greater St. Albert Roman Catholic Separate School Division</v>
      </c>
    </row>
    <row r="34" spans="1:8" x14ac:dyDescent="0.3">
      <c r="A34" t="s">
        <v>96</v>
      </c>
      <c r="B34" t="s">
        <v>97</v>
      </c>
      <c r="C34" t="s">
        <v>110</v>
      </c>
      <c r="D34" t="s">
        <v>111</v>
      </c>
      <c r="H34" t="str">
        <v>The High Prairie School Division</v>
      </c>
    </row>
    <row r="35" spans="1:8" x14ac:dyDescent="0.3">
      <c r="A35" t="s">
        <v>96</v>
      </c>
      <c r="B35" t="s">
        <v>97</v>
      </c>
      <c r="C35" t="s">
        <v>112</v>
      </c>
      <c r="D35" t="s">
        <v>113</v>
      </c>
      <c r="H35" t="str">
        <v>The Holy Family Catholic Separate School Division</v>
      </c>
    </row>
    <row r="36" spans="1:8" x14ac:dyDescent="0.3">
      <c r="A36" t="s">
        <v>96</v>
      </c>
      <c r="B36" t="s">
        <v>97</v>
      </c>
      <c r="C36" t="s">
        <v>114</v>
      </c>
      <c r="D36" t="s">
        <v>115</v>
      </c>
      <c r="H36" t="str">
        <v>The Holy Spirit Roman Catholic Separate School Division</v>
      </c>
    </row>
    <row r="37" spans="1:8" x14ac:dyDescent="0.3">
      <c r="A37" t="s">
        <v>96</v>
      </c>
      <c r="B37" t="s">
        <v>97</v>
      </c>
      <c r="C37" t="s">
        <v>116</v>
      </c>
      <c r="D37" t="s">
        <v>117</v>
      </c>
      <c r="H37" t="str">
        <v>The Horizon School Division</v>
      </c>
    </row>
    <row r="38" spans="1:8" x14ac:dyDescent="0.3">
      <c r="A38" t="s">
        <v>96</v>
      </c>
      <c r="B38" t="s">
        <v>97</v>
      </c>
      <c r="C38" t="s">
        <v>118</v>
      </c>
      <c r="D38" t="s">
        <v>119</v>
      </c>
      <c r="H38" t="str">
        <v>The Lakeland Roman Catholic Separate School Division</v>
      </c>
    </row>
    <row r="39" spans="1:8" x14ac:dyDescent="0.3">
      <c r="A39" t="s">
        <v>96</v>
      </c>
      <c r="B39" t="s">
        <v>97</v>
      </c>
      <c r="C39" t="s">
        <v>120</v>
      </c>
      <c r="D39" t="s">
        <v>121</v>
      </c>
      <c r="H39" t="str">
        <v>The Lethbridge School Division</v>
      </c>
    </row>
    <row r="40" spans="1:8" x14ac:dyDescent="0.3">
      <c r="A40" t="s">
        <v>96</v>
      </c>
      <c r="B40" t="s">
        <v>97</v>
      </c>
      <c r="C40" t="s">
        <v>122</v>
      </c>
      <c r="D40" t="s">
        <v>123</v>
      </c>
      <c r="H40" t="str">
        <v>The Living Waters Catholic Separate School Division</v>
      </c>
    </row>
    <row r="41" spans="1:8" x14ac:dyDescent="0.3">
      <c r="A41" t="s">
        <v>96</v>
      </c>
      <c r="B41" t="s">
        <v>97</v>
      </c>
      <c r="C41" t="s">
        <v>124</v>
      </c>
      <c r="D41" t="s">
        <v>125</v>
      </c>
      <c r="H41" t="str">
        <v>The Livingstone Range School Division</v>
      </c>
    </row>
    <row r="42" spans="1:8" x14ac:dyDescent="0.3">
      <c r="A42" t="s">
        <v>96</v>
      </c>
      <c r="B42" t="s">
        <v>97</v>
      </c>
      <c r="C42" t="s">
        <v>126</v>
      </c>
      <c r="D42" t="s">
        <v>127</v>
      </c>
      <c r="H42" t="str">
        <v>The Medicine Hat Roman Catholic Separate School Division</v>
      </c>
    </row>
    <row r="43" spans="1:8" x14ac:dyDescent="0.3">
      <c r="A43" t="s">
        <v>96</v>
      </c>
      <c r="B43" t="s">
        <v>97</v>
      </c>
      <c r="C43" t="s">
        <v>128</v>
      </c>
      <c r="D43" t="s">
        <v>129</v>
      </c>
      <c r="H43" t="str">
        <v>The Medicine Hat School Division</v>
      </c>
    </row>
    <row r="44" spans="1:8" x14ac:dyDescent="0.3">
      <c r="A44" t="s">
        <v>96</v>
      </c>
      <c r="B44" t="s">
        <v>97</v>
      </c>
      <c r="C44" t="s">
        <v>130</v>
      </c>
      <c r="D44" t="s">
        <v>131</v>
      </c>
      <c r="H44" t="str">
        <v>The Northern Gateway School Division</v>
      </c>
    </row>
    <row r="45" spans="1:8" x14ac:dyDescent="0.3">
      <c r="A45" t="s">
        <v>96</v>
      </c>
      <c r="B45" t="s">
        <v>97</v>
      </c>
      <c r="C45" t="s">
        <v>132</v>
      </c>
      <c r="D45" t="s">
        <v>133</v>
      </c>
      <c r="H45" t="str">
        <v>The Northern Lights School Division</v>
      </c>
    </row>
    <row r="46" spans="1:8" x14ac:dyDescent="0.3">
      <c r="A46" t="s">
        <v>96</v>
      </c>
      <c r="B46" t="s">
        <v>97</v>
      </c>
      <c r="C46" t="s">
        <v>134</v>
      </c>
      <c r="D46" t="s">
        <v>135</v>
      </c>
      <c r="H46" t="str">
        <v>The Northland School Division</v>
      </c>
    </row>
    <row r="47" spans="1:8" x14ac:dyDescent="0.3">
      <c r="A47" t="s">
        <v>96</v>
      </c>
      <c r="B47" t="s">
        <v>97</v>
      </c>
      <c r="C47" t="s">
        <v>136</v>
      </c>
      <c r="D47" t="s">
        <v>137</v>
      </c>
      <c r="H47" t="str">
        <v>The Northwest Francophone Education Region</v>
      </c>
    </row>
    <row r="48" spans="1:8" x14ac:dyDescent="0.3">
      <c r="A48" t="s">
        <v>96</v>
      </c>
      <c r="B48" t="s">
        <v>97</v>
      </c>
      <c r="C48" t="s">
        <v>138</v>
      </c>
      <c r="D48" t="s">
        <v>139</v>
      </c>
      <c r="H48" t="str">
        <v>The Palliser School Division</v>
      </c>
    </row>
    <row r="49" spans="1:8" x14ac:dyDescent="0.3">
      <c r="A49" t="s">
        <v>96</v>
      </c>
      <c r="B49" t="s">
        <v>97</v>
      </c>
      <c r="C49" t="s">
        <v>140</v>
      </c>
      <c r="D49" t="s">
        <v>141</v>
      </c>
      <c r="H49" t="str">
        <v>The Parkland School Division</v>
      </c>
    </row>
    <row r="50" spans="1:8" x14ac:dyDescent="0.3">
      <c r="A50" t="s">
        <v>96</v>
      </c>
      <c r="B50" t="s">
        <v>97</v>
      </c>
      <c r="C50" t="s">
        <v>142</v>
      </c>
      <c r="D50" t="s">
        <v>143</v>
      </c>
      <c r="H50" t="str">
        <v>The Peace River School Division</v>
      </c>
    </row>
    <row r="51" spans="1:8" x14ac:dyDescent="0.3">
      <c r="A51" t="s">
        <v>96</v>
      </c>
      <c r="B51" t="s">
        <v>97</v>
      </c>
      <c r="C51" t="s">
        <v>144</v>
      </c>
      <c r="D51" t="s">
        <v>145</v>
      </c>
      <c r="H51" t="str">
        <v>The Peace Wapiti School Division</v>
      </c>
    </row>
    <row r="52" spans="1:8" x14ac:dyDescent="0.3">
      <c r="A52" t="s">
        <v>96</v>
      </c>
      <c r="B52" t="s">
        <v>97</v>
      </c>
      <c r="C52" t="s">
        <v>146</v>
      </c>
      <c r="D52" t="s">
        <v>147</v>
      </c>
      <c r="H52" t="str">
        <v>The Pembina Hills School Division</v>
      </c>
    </row>
    <row r="53" spans="1:8" x14ac:dyDescent="0.3">
      <c r="A53" t="s">
        <v>96</v>
      </c>
      <c r="B53" t="s">
        <v>97</v>
      </c>
      <c r="C53" t="s">
        <v>148</v>
      </c>
      <c r="D53" t="s">
        <v>149</v>
      </c>
      <c r="H53" t="str">
        <v>The Prairie Land School Division</v>
      </c>
    </row>
    <row r="54" spans="1:8" x14ac:dyDescent="0.3">
      <c r="A54" t="s">
        <v>96</v>
      </c>
      <c r="B54" t="s">
        <v>97</v>
      </c>
      <c r="C54" t="s">
        <v>150</v>
      </c>
      <c r="D54" t="s">
        <v>151</v>
      </c>
      <c r="H54" t="str">
        <v>The Prairie Rose School Division</v>
      </c>
    </row>
    <row r="55" spans="1:8" x14ac:dyDescent="0.3">
      <c r="A55" t="s">
        <v>96</v>
      </c>
      <c r="B55" t="s">
        <v>97</v>
      </c>
      <c r="C55" t="s">
        <v>152</v>
      </c>
      <c r="D55" t="s">
        <v>153</v>
      </c>
      <c r="H55" t="str">
        <v>The Red Deer Catholic Separate School Division</v>
      </c>
    </row>
    <row r="56" spans="1:8" x14ac:dyDescent="0.3">
      <c r="A56" t="s">
        <v>96</v>
      </c>
      <c r="B56" t="s">
        <v>97</v>
      </c>
      <c r="C56" t="s">
        <v>154</v>
      </c>
      <c r="D56" t="s">
        <v>155</v>
      </c>
      <c r="H56" t="str">
        <v xml:space="preserve">The Red Deer School Division </v>
      </c>
    </row>
    <row r="57" spans="1:8" x14ac:dyDescent="0.3">
      <c r="A57" t="s">
        <v>96</v>
      </c>
      <c r="B57" t="s">
        <v>97</v>
      </c>
      <c r="C57" t="s">
        <v>156</v>
      </c>
      <c r="D57" t="s">
        <v>157</v>
      </c>
      <c r="H57" t="str">
        <v>The Rocky View School Division</v>
      </c>
    </row>
    <row r="58" spans="1:8" x14ac:dyDescent="0.3">
      <c r="A58" t="s">
        <v>96</v>
      </c>
      <c r="B58" t="s">
        <v>97</v>
      </c>
      <c r="C58" t="s">
        <v>158</v>
      </c>
      <c r="D58" t="s">
        <v>159</v>
      </c>
      <c r="H58" t="str">
        <v>The Southern Francophone Education Region</v>
      </c>
    </row>
    <row r="59" spans="1:8" x14ac:dyDescent="0.3">
      <c r="A59" t="s">
        <v>96</v>
      </c>
      <c r="B59" t="s">
        <v>97</v>
      </c>
      <c r="C59" t="s">
        <v>160</v>
      </c>
      <c r="D59" t="s">
        <v>161</v>
      </c>
      <c r="H59" t="str">
        <v>The St. Albert School Division</v>
      </c>
    </row>
    <row r="60" spans="1:8" x14ac:dyDescent="0.3">
      <c r="A60" t="s">
        <v>96</v>
      </c>
      <c r="B60" t="s">
        <v>97</v>
      </c>
      <c r="C60" t="s">
        <v>162</v>
      </c>
      <c r="D60" t="s">
        <v>163</v>
      </c>
      <c r="H60" t="str">
        <v>The St. Paul School Division</v>
      </c>
    </row>
    <row r="61" spans="1:8" x14ac:dyDescent="0.3">
      <c r="A61" t="s">
        <v>96</v>
      </c>
      <c r="B61" t="s">
        <v>97</v>
      </c>
      <c r="C61" t="s">
        <v>164</v>
      </c>
      <c r="D61" t="s">
        <v>165</v>
      </c>
      <c r="H61" t="str">
        <v xml:space="preserve">The St. Thomas Aquinas Roman Catholic Separate School Division </v>
      </c>
    </row>
    <row r="62" spans="1:8" x14ac:dyDescent="0.3">
      <c r="A62" t="s">
        <v>166</v>
      </c>
      <c r="B62" t="s">
        <v>167</v>
      </c>
      <c r="C62" t="s">
        <v>168</v>
      </c>
      <c r="D62" t="s">
        <v>169</v>
      </c>
      <c r="H62" t="str">
        <v>The Sturgeon School Division</v>
      </c>
    </row>
    <row r="63" spans="1:8" x14ac:dyDescent="0.3">
      <c r="A63" t="s">
        <v>166</v>
      </c>
      <c r="B63" t="s">
        <v>167</v>
      </c>
      <c r="C63" t="s">
        <v>170</v>
      </c>
      <c r="D63" t="s">
        <v>171</v>
      </c>
      <c r="H63" t="str">
        <v>The Westwind School Division</v>
      </c>
    </row>
    <row r="64" spans="1:8" x14ac:dyDescent="0.3">
      <c r="A64" t="s">
        <v>166</v>
      </c>
      <c r="B64" t="s">
        <v>167</v>
      </c>
      <c r="C64" t="s">
        <v>172</v>
      </c>
      <c r="D64" t="s">
        <v>173</v>
      </c>
      <c r="H64" t="str">
        <v>The Wetaskiwin School Division</v>
      </c>
    </row>
    <row r="65" spans="1:8" x14ac:dyDescent="0.3">
      <c r="A65" t="s">
        <v>166</v>
      </c>
      <c r="B65" t="s">
        <v>167</v>
      </c>
      <c r="C65" t="s">
        <v>174</v>
      </c>
      <c r="D65" t="s">
        <v>175</v>
      </c>
      <c r="H65" t="str">
        <v xml:space="preserve">The Wild Rose School Division </v>
      </c>
    </row>
    <row r="66" spans="1:8" x14ac:dyDescent="0.3">
      <c r="A66" t="s">
        <v>166</v>
      </c>
      <c r="B66" t="s">
        <v>167</v>
      </c>
      <c r="C66" t="s">
        <v>176</v>
      </c>
      <c r="D66" t="s">
        <v>177</v>
      </c>
      <c r="H66" t="str">
        <v>The Wolf Creek School Division</v>
      </c>
    </row>
    <row r="67" spans="1:8" x14ac:dyDescent="0.3">
      <c r="A67" t="s">
        <v>166</v>
      </c>
      <c r="B67" t="s">
        <v>167</v>
      </c>
      <c r="C67" t="s">
        <v>178</v>
      </c>
      <c r="D67" t="s">
        <v>179</v>
      </c>
      <c r="H67" t="str">
        <v>Valhalla School Foundation</v>
      </c>
    </row>
    <row r="68" spans="1:8" x14ac:dyDescent="0.3">
      <c r="A68" t="s">
        <v>166</v>
      </c>
      <c r="B68" t="s">
        <v>167</v>
      </c>
      <c r="C68" t="s">
        <v>180</v>
      </c>
      <c r="D68" t="s">
        <v>181</v>
      </c>
    </row>
    <row r="69" spans="1:8" x14ac:dyDescent="0.3">
      <c r="A69" t="s">
        <v>166</v>
      </c>
      <c r="B69" t="s">
        <v>167</v>
      </c>
      <c r="C69" t="s">
        <v>182</v>
      </c>
      <c r="D69" t="s">
        <v>183</v>
      </c>
    </row>
    <row r="70" spans="1:8" x14ac:dyDescent="0.3">
      <c r="A70" t="s">
        <v>166</v>
      </c>
      <c r="B70" t="s">
        <v>167</v>
      </c>
      <c r="C70" t="s">
        <v>184</v>
      </c>
      <c r="D70" t="s">
        <v>185</v>
      </c>
    </row>
    <row r="71" spans="1:8" x14ac:dyDescent="0.3">
      <c r="A71" t="s">
        <v>166</v>
      </c>
      <c r="B71" t="s">
        <v>167</v>
      </c>
      <c r="C71" t="s">
        <v>186</v>
      </c>
      <c r="D71" t="s">
        <v>187</v>
      </c>
    </row>
    <row r="72" spans="1:8" x14ac:dyDescent="0.3">
      <c r="A72" t="s">
        <v>166</v>
      </c>
      <c r="B72" t="s">
        <v>167</v>
      </c>
      <c r="C72" t="s">
        <v>188</v>
      </c>
      <c r="D72" t="s">
        <v>189</v>
      </c>
    </row>
    <row r="73" spans="1:8" x14ac:dyDescent="0.3">
      <c r="A73" t="s">
        <v>166</v>
      </c>
      <c r="B73" t="s">
        <v>167</v>
      </c>
      <c r="C73" t="s">
        <v>191</v>
      </c>
      <c r="D73" t="s">
        <v>192</v>
      </c>
    </row>
    <row r="74" spans="1:8" x14ac:dyDescent="0.3">
      <c r="A74" t="s">
        <v>166</v>
      </c>
      <c r="B74" t="s">
        <v>167</v>
      </c>
      <c r="C74" t="s">
        <v>193</v>
      </c>
      <c r="D74" t="s">
        <v>194</v>
      </c>
    </row>
    <row r="75" spans="1:8" x14ac:dyDescent="0.3">
      <c r="A75" t="s">
        <v>166</v>
      </c>
      <c r="B75" t="s">
        <v>167</v>
      </c>
      <c r="C75" t="s">
        <v>190</v>
      </c>
      <c r="D75" t="s">
        <v>4222</v>
      </c>
    </row>
    <row r="76" spans="1:8" x14ac:dyDescent="0.3">
      <c r="A76" t="s">
        <v>166</v>
      </c>
      <c r="B76" t="s">
        <v>167</v>
      </c>
      <c r="C76" t="s">
        <v>195</v>
      </c>
      <c r="D76" t="s">
        <v>196</v>
      </c>
    </row>
    <row r="77" spans="1:8" x14ac:dyDescent="0.3">
      <c r="A77" t="s">
        <v>166</v>
      </c>
      <c r="B77" t="s">
        <v>167</v>
      </c>
      <c r="C77" t="s">
        <v>197</v>
      </c>
      <c r="D77" t="s">
        <v>198</v>
      </c>
    </row>
    <row r="78" spans="1:8" x14ac:dyDescent="0.3">
      <c r="A78" t="s">
        <v>166</v>
      </c>
      <c r="B78" t="s">
        <v>167</v>
      </c>
      <c r="C78" t="s">
        <v>199</v>
      </c>
      <c r="D78" t="s">
        <v>200</v>
      </c>
    </row>
    <row r="79" spans="1:8" x14ac:dyDescent="0.3">
      <c r="A79" t="s">
        <v>166</v>
      </c>
      <c r="B79" t="s">
        <v>167</v>
      </c>
      <c r="C79" t="s">
        <v>201</v>
      </c>
      <c r="D79" t="s">
        <v>202</v>
      </c>
    </row>
    <row r="80" spans="1:8" x14ac:dyDescent="0.3">
      <c r="A80" t="s">
        <v>166</v>
      </c>
      <c r="B80" t="s">
        <v>167</v>
      </c>
      <c r="C80" t="s">
        <v>203</v>
      </c>
      <c r="D80" t="s">
        <v>204</v>
      </c>
    </row>
    <row r="81" spans="1:4" x14ac:dyDescent="0.3">
      <c r="A81" t="s">
        <v>166</v>
      </c>
      <c r="B81" t="s">
        <v>167</v>
      </c>
      <c r="C81" t="s">
        <v>205</v>
      </c>
      <c r="D81" t="s">
        <v>206</v>
      </c>
    </row>
    <row r="82" spans="1:4" x14ac:dyDescent="0.3">
      <c r="A82" t="s">
        <v>166</v>
      </c>
      <c r="B82" t="s">
        <v>167</v>
      </c>
      <c r="C82" t="s">
        <v>207</v>
      </c>
      <c r="D82" t="s">
        <v>208</v>
      </c>
    </row>
    <row r="83" spans="1:4" x14ac:dyDescent="0.3">
      <c r="A83" t="s">
        <v>166</v>
      </c>
      <c r="B83" t="s">
        <v>167</v>
      </c>
      <c r="C83" t="s">
        <v>209</v>
      </c>
      <c r="D83" t="s">
        <v>210</v>
      </c>
    </row>
    <row r="84" spans="1:4" x14ac:dyDescent="0.3">
      <c r="A84" t="s">
        <v>166</v>
      </c>
      <c r="B84" t="s">
        <v>167</v>
      </c>
      <c r="C84" t="s">
        <v>211</v>
      </c>
      <c r="D84" t="s">
        <v>212</v>
      </c>
    </row>
    <row r="85" spans="1:4" x14ac:dyDescent="0.3">
      <c r="A85" t="s">
        <v>166</v>
      </c>
      <c r="B85" t="s">
        <v>167</v>
      </c>
      <c r="C85" t="s">
        <v>4123</v>
      </c>
      <c r="D85" t="s">
        <v>4124</v>
      </c>
    </row>
    <row r="86" spans="1:4" x14ac:dyDescent="0.3">
      <c r="A86" t="s">
        <v>166</v>
      </c>
      <c r="B86" t="s">
        <v>167</v>
      </c>
      <c r="C86" t="s">
        <v>213</v>
      </c>
      <c r="D86" t="s">
        <v>214</v>
      </c>
    </row>
    <row r="87" spans="1:4" x14ac:dyDescent="0.3">
      <c r="A87" t="s">
        <v>166</v>
      </c>
      <c r="B87" t="s">
        <v>167</v>
      </c>
      <c r="C87" t="s">
        <v>215</v>
      </c>
      <c r="D87" t="s">
        <v>216</v>
      </c>
    </row>
    <row r="88" spans="1:4" x14ac:dyDescent="0.3">
      <c r="A88" t="s">
        <v>166</v>
      </c>
      <c r="B88" t="s">
        <v>167</v>
      </c>
      <c r="C88" t="s">
        <v>217</v>
      </c>
      <c r="D88" t="s">
        <v>218</v>
      </c>
    </row>
    <row r="89" spans="1:4" x14ac:dyDescent="0.3">
      <c r="A89" t="s">
        <v>166</v>
      </c>
      <c r="B89" t="s">
        <v>167</v>
      </c>
      <c r="C89" t="s">
        <v>219</v>
      </c>
      <c r="D89" t="s">
        <v>220</v>
      </c>
    </row>
    <row r="90" spans="1:4" x14ac:dyDescent="0.3">
      <c r="A90" t="s">
        <v>166</v>
      </c>
      <c r="B90" t="s">
        <v>167</v>
      </c>
      <c r="C90" t="s">
        <v>221</v>
      </c>
      <c r="D90" t="s">
        <v>222</v>
      </c>
    </row>
    <row r="91" spans="1:4" x14ac:dyDescent="0.3">
      <c r="A91" t="s">
        <v>166</v>
      </c>
      <c r="B91" t="s">
        <v>167</v>
      </c>
      <c r="C91" t="s">
        <v>223</v>
      </c>
      <c r="D91" t="s">
        <v>224</v>
      </c>
    </row>
    <row r="92" spans="1:4" x14ac:dyDescent="0.3">
      <c r="A92" t="s">
        <v>166</v>
      </c>
      <c r="B92" t="s">
        <v>167</v>
      </c>
      <c r="C92" t="s">
        <v>225</v>
      </c>
      <c r="D92" t="s">
        <v>226</v>
      </c>
    </row>
    <row r="93" spans="1:4" x14ac:dyDescent="0.3">
      <c r="A93" t="s">
        <v>166</v>
      </c>
      <c r="B93" t="s">
        <v>167</v>
      </c>
      <c r="C93" t="s">
        <v>227</v>
      </c>
      <c r="D93" t="s">
        <v>228</v>
      </c>
    </row>
    <row r="94" spans="1:4" x14ac:dyDescent="0.3">
      <c r="A94" t="s">
        <v>229</v>
      </c>
      <c r="B94" t="s">
        <v>230</v>
      </c>
      <c r="C94" t="s">
        <v>231</v>
      </c>
      <c r="D94" t="s">
        <v>232</v>
      </c>
    </row>
    <row r="95" spans="1:4" x14ac:dyDescent="0.3">
      <c r="A95" t="s">
        <v>229</v>
      </c>
      <c r="B95" t="s">
        <v>230</v>
      </c>
      <c r="C95" t="s">
        <v>233</v>
      </c>
      <c r="D95" t="s">
        <v>234</v>
      </c>
    </row>
    <row r="96" spans="1:4" x14ac:dyDescent="0.3">
      <c r="A96" t="s">
        <v>229</v>
      </c>
      <c r="B96" t="s">
        <v>230</v>
      </c>
      <c r="C96" t="s">
        <v>235</v>
      </c>
      <c r="D96" t="s">
        <v>236</v>
      </c>
    </row>
    <row r="97" spans="1:4" x14ac:dyDescent="0.3">
      <c r="A97" t="s">
        <v>229</v>
      </c>
      <c r="B97" t="s">
        <v>230</v>
      </c>
      <c r="C97" t="s">
        <v>237</v>
      </c>
      <c r="D97" t="s">
        <v>238</v>
      </c>
    </row>
    <row r="98" spans="1:4" x14ac:dyDescent="0.3">
      <c r="A98" t="s">
        <v>229</v>
      </c>
      <c r="B98" t="s">
        <v>230</v>
      </c>
      <c r="C98" t="s">
        <v>239</v>
      </c>
      <c r="D98" t="s">
        <v>240</v>
      </c>
    </row>
    <row r="99" spans="1:4" x14ac:dyDescent="0.3">
      <c r="A99" t="s">
        <v>229</v>
      </c>
      <c r="B99" t="s">
        <v>230</v>
      </c>
      <c r="C99" t="s">
        <v>241</v>
      </c>
      <c r="D99" t="s">
        <v>242</v>
      </c>
    </row>
    <row r="100" spans="1:4" x14ac:dyDescent="0.3">
      <c r="A100" t="s">
        <v>229</v>
      </c>
      <c r="B100" t="s">
        <v>230</v>
      </c>
      <c r="C100" t="s">
        <v>243</v>
      </c>
      <c r="D100" t="s">
        <v>244</v>
      </c>
    </row>
    <row r="101" spans="1:4" x14ac:dyDescent="0.3">
      <c r="A101" t="s">
        <v>229</v>
      </c>
      <c r="B101" t="s">
        <v>230</v>
      </c>
      <c r="C101" t="s">
        <v>245</v>
      </c>
      <c r="D101" t="s">
        <v>246</v>
      </c>
    </row>
    <row r="102" spans="1:4" x14ac:dyDescent="0.3">
      <c r="A102" t="s">
        <v>229</v>
      </c>
      <c r="B102" t="s">
        <v>230</v>
      </c>
      <c r="C102" t="s">
        <v>247</v>
      </c>
      <c r="D102" t="s">
        <v>248</v>
      </c>
    </row>
    <row r="103" spans="1:4" x14ac:dyDescent="0.3">
      <c r="A103" t="s">
        <v>229</v>
      </c>
      <c r="B103" t="s">
        <v>230</v>
      </c>
      <c r="C103" t="s">
        <v>249</v>
      </c>
      <c r="D103" t="s">
        <v>250</v>
      </c>
    </row>
    <row r="104" spans="1:4" x14ac:dyDescent="0.3">
      <c r="A104" t="s">
        <v>229</v>
      </c>
      <c r="B104" t="s">
        <v>230</v>
      </c>
      <c r="C104" t="s">
        <v>251</v>
      </c>
      <c r="D104" t="s">
        <v>252</v>
      </c>
    </row>
    <row r="105" spans="1:4" x14ac:dyDescent="0.3">
      <c r="A105" t="s">
        <v>229</v>
      </c>
      <c r="B105" t="s">
        <v>230</v>
      </c>
      <c r="C105" t="s">
        <v>253</v>
      </c>
      <c r="D105" t="s">
        <v>254</v>
      </c>
    </row>
    <row r="106" spans="1:4" x14ac:dyDescent="0.3">
      <c r="A106" t="s">
        <v>229</v>
      </c>
      <c r="B106" t="s">
        <v>230</v>
      </c>
      <c r="C106" t="s">
        <v>255</v>
      </c>
      <c r="D106" t="s">
        <v>256</v>
      </c>
    </row>
    <row r="107" spans="1:4" x14ac:dyDescent="0.3">
      <c r="A107" t="s">
        <v>229</v>
      </c>
      <c r="B107" t="s">
        <v>230</v>
      </c>
      <c r="C107" t="s">
        <v>257</v>
      </c>
      <c r="D107" t="s">
        <v>258</v>
      </c>
    </row>
    <row r="108" spans="1:4" x14ac:dyDescent="0.3">
      <c r="A108" t="s">
        <v>229</v>
      </c>
      <c r="B108" t="s">
        <v>230</v>
      </c>
      <c r="C108" t="s">
        <v>259</v>
      </c>
      <c r="D108" t="s">
        <v>260</v>
      </c>
    </row>
    <row r="109" spans="1:4" x14ac:dyDescent="0.3">
      <c r="A109" t="s">
        <v>229</v>
      </c>
      <c r="B109" t="s">
        <v>230</v>
      </c>
      <c r="C109" t="s">
        <v>261</v>
      </c>
      <c r="D109" t="s">
        <v>262</v>
      </c>
    </row>
    <row r="110" spans="1:4" x14ac:dyDescent="0.3">
      <c r="A110" t="s">
        <v>229</v>
      </c>
      <c r="B110" t="s">
        <v>230</v>
      </c>
      <c r="C110" t="s">
        <v>263</v>
      </c>
      <c r="D110" t="s">
        <v>264</v>
      </c>
    </row>
    <row r="111" spans="1:4" x14ac:dyDescent="0.3">
      <c r="A111" t="s">
        <v>229</v>
      </c>
      <c r="B111" t="s">
        <v>230</v>
      </c>
      <c r="C111" t="s">
        <v>265</v>
      </c>
      <c r="D111" t="s">
        <v>266</v>
      </c>
    </row>
    <row r="112" spans="1:4" x14ac:dyDescent="0.3">
      <c r="A112" t="s">
        <v>229</v>
      </c>
      <c r="B112" t="s">
        <v>230</v>
      </c>
      <c r="C112" t="s">
        <v>267</v>
      </c>
      <c r="D112" t="s">
        <v>268</v>
      </c>
    </row>
    <row r="113" spans="1:4" x14ac:dyDescent="0.3">
      <c r="A113" t="s">
        <v>229</v>
      </c>
      <c r="B113" t="s">
        <v>230</v>
      </c>
      <c r="C113" t="s">
        <v>269</v>
      </c>
      <c r="D113" t="s">
        <v>270</v>
      </c>
    </row>
    <row r="114" spans="1:4" x14ac:dyDescent="0.3">
      <c r="A114" t="s">
        <v>229</v>
      </c>
      <c r="B114" t="s">
        <v>230</v>
      </c>
      <c r="C114" t="s">
        <v>271</v>
      </c>
      <c r="D114" t="s">
        <v>272</v>
      </c>
    </row>
    <row r="115" spans="1:4" x14ac:dyDescent="0.3">
      <c r="A115" t="s">
        <v>229</v>
      </c>
      <c r="B115" t="s">
        <v>230</v>
      </c>
      <c r="C115" t="s">
        <v>273</v>
      </c>
      <c r="D115" t="s">
        <v>274</v>
      </c>
    </row>
    <row r="116" spans="1:4" x14ac:dyDescent="0.3">
      <c r="A116" t="s">
        <v>229</v>
      </c>
      <c r="B116" t="s">
        <v>230</v>
      </c>
      <c r="C116" t="s">
        <v>275</v>
      </c>
      <c r="D116" t="s">
        <v>276</v>
      </c>
    </row>
    <row r="117" spans="1:4" x14ac:dyDescent="0.3">
      <c r="A117" t="s">
        <v>229</v>
      </c>
      <c r="B117" t="s">
        <v>230</v>
      </c>
      <c r="C117" t="s">
        <v>277</v>
      </c>
      <c r="D117" t="s">
        <v>278</v>
      </c>
    </row>
    <row r="118" spans="1:4" x14ac:dyDescent="0.3">
      <c r="A118" t="s">
        <v>229</v>
      </c>
      <c r="B118" t="s">
        <v>230</v>
      </c>
      <c r="C118" t="s">
        <v>279</v>
      </c>
      <c r="D118" t="s">
        <v>280</v>
      </c>
    </row>
    <row r="119" spans="1:4" x14ac:dyDescent="0.3">
      <c r="A119" t="s">
        <v>229</v>
      </c>
      <c r="B119" t="s">
        <v>230</v>
      </c>
      <c r="C119" t="s">
        <v>281</v>
      </c>
      <c r="D119" t="s">
        <v>282</v>
      </c>
    </row>
    <row r="120" spans="1:4" x14ac:dyDescent="0.3">
      <c r="A120" t="s">
        <v>283</v>
      </c>
      <c r="B120" t="s">
        <v>284</v>
      </c>
      <c r="C120" t="s">
        <v>285</v>
      </c>
      <c r="D120" t="s">
        <v>286</v>
      </c>
    </row>
    <row r="121" spans="1:4" x14ac:dyDescent="0.3">
      <c r="A121" t="s">
        <v>283</v>
      </c>
      <c r="B121" t="s">
        <v>284</v>
      </c>
      <c r="C121" t="s">
        <v>287</v>
      </c>
      <c r="D121" t="s">
        <v>288</v>
      </c>
    </row>
    <row r="122" spans="1:4" x14ac:dyDescent="0.3">
      <c r="A122" t="s">
        <v>283</v>
      </c>
      <c r="B122" t="s">
        <v>284</v>
      </c>
      <c r="C122" t="s">
        <v>289</v>
      </c>
      <c r="D122" t="s">
        <v>290</v>
      </c>
    </row>
    <row r="123" spans="1:4" x14ac:dyDescent="0.3">
      <c r="A123" t="s">
        <v>283</v>
      </c>
      <c r="B123" t="s">
        <v>284</v>
      </c>
      <c r="C123" t="s">
        <v>291</v>
      </c>
      <c r="D123" t="s">
        <v>292</v>
      </c>
    </row>
    <row r="124" spans="1:4" x14ac:dyDescent="0.3">
      <c r="A124" t="s">
        <v>283</v>
      </c>
      <c r="B124" t="s">
        <v>284</v>
      </c>
      <c r="C124" t="s">
        <v>293</v>
      </c>
      <c r="D124" t="s">
        <v>294</v>
      </c>
    </row>
    <row r="125" spans="1:4" x14ac:dyDescent="0.3">
      <c r="A125" t="s">
        <v>283</v>
      </c>
      <c r="B125" t="s">
        <v>284</v>
      </c>
      <c r="C125" t="s">
        <v>295</v>
      </c>
      <c r="D125" t="s">
        <v>296</v>
      </c>
    </row>
    <row r="126" spans="1:4" x14ac:dyDescent="0.3">
      <c r="A126" t="s">
        <v>283</v>
      </c>
      <c r="B126" t="s">
        <v>284</v>
      </c>
      <c r="C126" t="s">
        <v>297</v>
      </c>
      <c r="D126" t="s">
        <v>298</v>
      </c>
    </row>
    <row r="127" spans="1:4" x14ac:dyDescent="0.3">
      <c r="A127" t="s">
        <v>283</v>
      </c>
      <c r="B127" t="s">
        <v>284</v>
      </c>
      <c r="C127" t="s">
        <v>299</v>
      </c>
      <c r="D127" t="s">
        <v>300</v>
      </c>
    </row>
    <row r="128" spans="1:4" x14ac:dyDescent="0.3">
      <c r="A128" t="s">
        <v>283</v>
      </c>
      <c r="B128" t="s">
        <v>284</v>
      </c>
      <c r="C128" t="s">
        <v>301</v>
      </c>
      <c r="D128" t="s">
        <v>302</v>
      </c>
    </row>
    <row r="129" spans="1:4" x14ac:dyDescent="0.3">
      <c r="A129" t="s">
        <v>283</v>
      </c>
      <c r="B129" t="s">
        <v>284</v>
      </c>
      <c r="C129" t="s">
        <v>303</v>
      </c>
      <c r="D129" t="s">
        <v>304</v>
      </c>
    </row>
    <row r="130" spans="1:4" x14ac:dyDescent="0.3">
      <c r="A130" t="s">
        <v>283</v>
      </c>
      <c r="B130" t="s">
        <v>284</v>
      </c>
      <c r="C130" t="s">
        <v>305</v>
      </c>
      <c r="D130" t="s">
        <v>306</v>
      </c>
    </row>
    <row r="131" spans="1:4" x14ac:dyDescent="0.3">
      <c r="A131" t="s">
        <v>283</v>
      </c>
      <c r="B131" t="s">
        <v>284</v>
      </c>
      <c r="C131" t="s">
        <v>307</v>
      </c>
      <c r="D131" t="s">
        <v>308</v>
      </c>
    </row>
    <row r="132" spans="1:4" x14ac:dyDescent="0.3">
      <c r="A132" t="s">
        <v>283</v>
      </c>
      <c r="B132" t="s">
        <v>284</v>
      </c>
      <c r="C132" t="s">
        <v>309</v>
      </c>
      <c r="D132" t="s">
        <v>310</v>
      </c>
    </row>
    <row r="133" spans="1:4" x14ac:dyDescent="0.3">
      <c r="A133" t="s">
        <v>283</v>
      </c>
      <c r="B133" t="s">
        <v>284</v>
      </c>
      <c r="C133" t="s">
        <v>311</v>
      </c>
      <c r="D133" t="s">
        <v>312</v>
      </c>
    </row>
    <row r="134" spans="1:4" x14ac:dyDescent="0.3">
      <c r="A134" t="s">
        <v>283</v>
      </c>
      <c r="B134" t="s">
        <v>284</v>
      </c>
      <c r="C134" t="s">
        <v>313</v>
      </c>
      <c r="D134" t="s">
        <v>314</v>
      </c>
    </row>
    <row r="135" spans="1:4" x14ac:dyDescent="0.3">
      <c r="A135" t="s">
        <v>283</v>
      </c>
      <c r="B135" t="s">
        <v>284</v>
      </c>
      <c r="C135" t="s">
        <v>315</v>
      </c>
      <c r="D135" t="s">
        <v>316</v>
      </c>
    </row>
    <row r="136" spans="1:4" x14ac:dyDescent="0.3">
      <c r="A136" t="s">
        <v>283</v>
      </c>
      <c r="B136" t="s">
        <v>284</v>
      </c>
      <c r="C136" t="s">
        <v>317</v>
      </c>
      <c r="D136" t="s">
        <v>318</v>
      </c>
    </row>
    <row r="137" spans="1:4" x14ac:dyDescent="0.3">
      <c r="A137" t="s">
        <v>283</v>
      </c>
      <c r="B137" t="s">
        <v>284</v>
      </c>
      <c r="C137" t="s">
        <v>319</v>
      </c>
      <c r="D137" t="s">
        <v>320</v>
      </c>
    </row>
    <row r="138" spans="1:4" x14ac:dyDescent="0.3">
      <c r="A138" t="s">
        <v>283</v>
      </c>
      <c r="B138" t="s">
        <v>284</v>
      </c>
      <c r="C138" t="s">
        <v>321</v>
      </c>
      <c r="D138" t="s">
        <v>322</v>
      </c>
    </row>
    <row r="139" spans="1:4" x14ac:dyDescent="0.3">
      <c r="A139" t="s">
        <v>283</v>
      </c>
      <c r="B139" t="s">
        <v>284</v>
      </c>
      <c r="C139" t="s">
        <v>323</v>
      </c>
      <c r="D139" t="s">
        <v>324</v>
      </c>
    </row>
    <row r="140" spans="1:4" x14ac:dyDescent="0.3">
      <c r="A140" t="s">
        <v>283</v>
      </c>
      <c r="B140" t="s">
        <v>284</v>
      </c>
      <c r="C140" t="s">
        <v>325</v>
      </c>
      <c r="D140" t="s">
        <v>326</v>
      </c>
    </row>
    <row r="141" spans="1:4" x14ac:dyDescent="0.3">
      <c r="A141" t="s">
        <v>283</v>
      </c>
      <c r="B141" t="s">
        <v>284</v>
      </c>
      <c r="C141" t="s">
        <v>327</v>
      </c>
      <c r="D141" t="s">
        <v>328</v>
      </c>
    </row>
    <row r="142" spans="1:4" x14ac:dyDescent="0.3">
      <c r="A142" t="s">
        <v>283</v>
      </c>
      <c r="B142" t="s">
        <v>284</v>
      </c>
      <c r="C142" t="s">
        <v>329</v>
      </c>
      <c r="D142" t="s">
        <v>330</v>
      </c>
    </row>
    <row r="143" spans="1:4" x14ac:dyDescent="0.3">
      <c r="A143" t="s">
        <v>283</v>
      </c>
      <c r="B143" t="s">
        <v>284</v>
      </c>
      <c r="C143" t="s">
        <v>331</v>
      </c>
      <c r="D143" t="s">
        <v>332</v>
      </c>
    </row>
    <row r="144" spans="1:4" x14ac:dyDescent="0.3">
      <c r="A144" t="s">
        <v>283</v>
      </c>
      <c r="B144" t="s">
        <v>284</v>
      </c>
      <c r="C144" t="s">
        <v>333</v>
      </c>
      <c r="D144" t="s">
        <v>334</v>
      </c>
    </row>
    <row r="145" spans="1:4" x14ac:dyDescent="0.3">
      <c r="A145" t="s">
        <v>283</v>
      </c>
      <c r="B145" t="s">
        <v>284</v>
      </c>
      <c r="C145" t="s">
        <v>335</v>
      </c>
      <c r="D145" t="s">
        <v>336</v>
      </c>
    </row>
    <row r="146" spans="1:4" x14ac:dyDescent="0.3">
      <c r="A146" t="s">
        <v>283</v>
      </c>
      <c r="B146" t="s">
        <v>284</v>
      </c>
      <c r="C146" t="s">
        <v>337</v>
      </c>
      <c r="D146" t="s">
        <v>338</v>
      </c>
    </row>
    <row r="147" spans="1:4" x14ac:dyDescent="0.3">
      <c r="A147" t="s">
        <v>283</v>
      </c>
      <c r="B147" t="s">
        <v>284</v>
      </c>
      <c r="C147" t="s">
        <v>339</v>
      </c>
      <c r="D147" t="s">
        <v>340</v>
      </c>
    </row>
    <row r="148" spans="1:4" x14ac:dyDescent="0.3">
      <c r="A148" t="s">
        <v>283</v>
      </c>
      <c r="B148" t="s">
        <v>284</v>
      </c>
      <c r="C148" t="s">
        <v>341</v>
      </c>
      <c r="D148" t="s">
        <v>342</v>
      </c>
    </row>
    <row r="149" spans="1:4" x14ac:dyDescent="0.3">
      <c r="A149" t="s">
        <v>283</v>
      </c>
      <c r="B149" t="s">
        <v>284</v>
      </c>
      <c r="C149" t="s">
        <v>4234</v>
      </c>
      <c r="D149" t="s">
        <v>4221</v>
      </c>
    </row>
    <row r="150" spans="1:4" x14ac:dyDescent="0.3">
      <c r="A150" t="s">
        <v>283</v>
      </c>
      <c r="B150" t="s">
        <v>284</v>
      </c>
      <c r="C150" t="s">
        <v>343</v>
      </c>
      <c r="D150" t="s">
        <v>344</v>
      </c>
    </row>
    <row r="151" spans="1:4" x14ac:dyDescent="0.3">
      <c r="A151" t="s">
        <v>283</v>
      </c>
      <c r="B151" t="s">
        <v>284</v>
      </c>
      <c r="C151" t="s">
        <v>345</v>
      </c>
      <c r="D151" t="s">
        <v>346</v>
      </c>
    </row>
    <row r="152" spans="1:4" x14ac:dyDescent="0.3">
      <c r="A152" t="s">
        <v>283</v>
      </c>
      <c r="B152" t="s">
        <v>284</v>
      </c>
      <c r="C152" t="s">
        <v>347</v>
      </c>
      <c r="D152" t="s">
        <v>348</v>
      </c>
    </row>
    <row r="153" spans="1:4" x14ac:dyDescent="0.3">
      <c r="A153" t="s">
        <v>283</v>
      </c>
      <c r="B153" t="s">
        <v>284</v>
      </c>
      <c r="C153" t="s">
        <v>349</v>
      </c>
      <c r="D153" t="s">
        <v>350</v>
      </c>
    </row>
    <row r="154" spans="1:4" x14ac:dyDescent="0.3">
      <c r="A154" t="s">
        <v>283</v>
      </c>
      <c r="B154" t="s">
        <v>284</v>
      </c>
      <c r="C154" t="s">
        <v>351</v>
      </c>
      <c r="D154" t="s">
        <v>352</v>
      </c>
    </row>
    <row r="155" spans="1:4" x14ac:dyDescent="0.3">
      <c r="A155" t="s">
        <v>283</v>
      </c>
      <c r="B155" t="s">
        <v>284</v>
      </c>
      <c r="C155" t="s">
        <v>353</v>
      </c>
      <c r="D155" t="s">
        <v>354</v>
      </c>
    </row>
    <row r="156" spans="1:4" x14ac:dyDescent="0.3">
      <c r="A156" t="s">
        <v>283</v>
      </c>
      <c r="B156" t="s">
        <v>284</v>
      </c>
      <c r="C156" t="s">
        <v>355</v>
      </c>
      <c r="D156" t="s">
        <v>356</v>
      </c>
    </row>
    <row r="157" spans="1:4" x14ac:dyDescent="0.3">
      <c r="A157" t="s">
        <v>283</v>
      </c>
      <c r="B157" t="s">
        <v>284</v>
      </c>
      <c r="C157" t="s">
        <v>357</v>
      </c>
      <c r="D157" t="s">
        <v>358</v>
      </c>
    </row>
    <row r="158" spans="1:4" x14ac:dyDescent="0.3">
      <c r="A158" t="s">
        <v>283</v>
      </c>
      <c r="B158" t="s">
        <v>284</v>
      </c>
      <c r="C158" t="s">
        <v>359</v>
      </c>
      <c r="D158" t="s">
        <v>360</v>
      </c>
    </row>
    <row r="159" spans="1:4" x14ac:dyDescent="0.3">
      <c r="A159" t="s">
        <v>283</v>
      </c>
      <c r="B159" t="s">
        <v>284</v>
      </c>
      <c r="C159" t="s">
        <v>361</v>
      </c>
      <c r="D159" t="s">
        <v>362</v>
      </c>
    </row>
    <row r="160" spans="1:4" x14ac:dyDescent="0.3">
      <c r="A160" t="s">
        <v>283</v>
      </c>
      <c r="B160" t="s">
        <v>284</v>
      </c>
      <c r="C160" t="s">
        <v>363</v>
      </c>
      <c r="D160" t="s">
        <v>364</v>
      </c>
    </row>
    <row r="161" spans="1:4" x14ac:dyDescent="0.3">
      <c r="A161" t="s">
        <v>283</v>
      </c>
      <c r="B161" t="s">
        <v>284</v>
      </c>
      <c r="C161" t="s">
        <v>365</v>
      </c>
      <c r="D161" t="s">
        <v>366</v>
      </c>
    </row>
    <row r="162" spans="1:4" x14ac:dyDescent="0.3">
      <c r="A162" t="s">
        <v>283</v>
      </c>
      <c r="B162" t="s">
        <v>284</v>
      </c>
      <c r="C162" t="s">
        <v>367</v>
      </c>
      <c r="D162" t="s">
        <v>368</v>
      </c>
    </row>
    <row r="163" spans="1:4" x14ac:dyDescent="0.3">
      <c r="A163" t="s">
        <v>283</v>
      </c>
      <c r="B163" t="s">
        <v>284</v>
      </c>
      <c r="C163" t="s">
        <v>369</v>
      </c>
      <c r="D163" t="s">
        <v>370</v>
      </c>
    </row>
    <row r="164" spans="1:4" x14ac:dyDescent="0.3">
      <c r="A164" t="s">
        <v>283</v>
      </c>
      <c r="B164" t="s">
        <v>284</v>
      </c>
      <c r="C164" t="s">
        <v>371</v>
      </c>
      <c r="D164" t="s">
        <v>372</v>
      </c>
    </row>
    <row r="165" spans="1:4" x14ac:dyDescent="0.3">
      <c r="A165" t="s">
        <v>283</v>
      </c>
      <c r="B165" t="s">
        <v>284</v>
      </c>
      <c r="C165" t="s">
        <v>373</v>
      </c>
      <c r="D165" t="s">
        <v>374</v>
      </c>
    </row>
    <row r="166" spans="1:4" x14ac:dyDescent="0.3">
      <c r="A166" t="s">
        <v>283</v>
      </c>
      <c r="B166" t="s">
        <v>284</v>
      </c>
      <c r="C166" t="s">
        <v>375</v>
      </c>
      <c r="D166" t="s">
        <v>376</v>
      </c>
    </row>
    <row r="167" spans="1:4" x14ac:dyDescent="0.3">
      <c r="A167" t="s">
        <v>283</v>
      </c>
      <c r="B167" t="s">
        <v>284</v>
      </c>
      <c r="C167" t="s">
        <v>377</v>
      </c>
      <c r="D167" t="s">
        <v>4223</v>
      </c>
    </row>
    <row r="168" spans="1:4" x14ac:dyDescent="0.3">
      <c r="A168" t="s">
        <v>283</v>
      </c>
      <c r="B168" t="s">
        <v>284</v>
      </c>
      <c r="C168" t="s">
        <v>378</v>
      </c>
      <c r="D168" t="s">
        <v>379</v>
      </c>
    </row>
    <row r="169" spans="1:4" x14ac:dyDescent="0.3">
      <c r="A169" t="s">
        <v>283</v>
      </c>
      <c r="B169" t="s">
        <v>284</v>
      </c>
      <c r="C169" t="s">
        <v>380</v>
      </c>
      <c r="D169" t="s">
        <v>381</v>
      </c>
    </row>
    <row r="170" spans="1:4" x14ac:dyDescent="0.3">
      <c r="A170" t="s">
        <v>283</v>
      </c>
      <c r="B170" t="s">
        <v>284</v>
      </c>
      <c r="C170" t="s">
        <v>382</v>
      </c>
      <c r="D170" t="s">
        <v>383</v>
      </c>
    </row>
    <row r="171" spans="1:4" x14ac:dyDescent="0.3">
      <c r="A171" t="s">
        <v>283</v>
      </c>
      <c r="B171" t="s">
        <v>284</v>
      </c>
      <c r="C171" t="s">
        <v>384</v>
      </c>
      <c r="D171" t="s">
        <v>385</v>
      </c>
    </row>
    <row r="172" spans="1:4" x14ac:dyDescent="0.3">
      <c r="A172" t="s">
        <v>283</v>
      </c>
      <c r="B172" t="s">
        <v>284</v>
      </c>
      <c r="C172" t="s">
        <v>386</v>
      </c>
      <c r="D172" t="s">
        <v>387</v>
      </c>
    </row>
    <row r="173" spans="1:4" x14ac:dyDescent="0.3">
      <c r="A173" t="s">
        <v>283</v>
      </c>
      <c r="B173" t="s">
        <v>284</v>
      </c>
      <c r="C173" t="s">
        <v>388</v>
      </c>
      <c r="D173" t="s">
        <v>389</v>
      </c>
    </row>
    <row r="174" spans="1:4" x14ac:dyDescent="0.3">
      <c r="A174" t="s">
        <v>283</v>
      </c>
      <c r="B174" t="s">
        <v>284</v>
      </c>
      <c r="C174" t="s">
        <v>390</v>
      </c>
      <c r="D174" t="s">
        <v>391</v>
      </c>
    </row>
    <row r="175" spans="1:4" x14ac:dyDescent="0.3">
      <c r="A175" t="s">
        <v>283</v>
      </c>
      <c r="B175" t="s">
        <v>284</v>
      </c>
      <c r="C175" t="s">
        <v>392</v>
      </c>
      <c r="D175" t="s">
        <v>393</v>
      </c>
    </row>
    <row r="176" spans="1:4" x14ac:dyDescent="0.3">
      <c r="A176" t="s">
        <v>283</v>
      </c>
      <c r="B176" t="s">
        <v>284</v>
      </c>
      <c r="C176" t="s">
        <v>394</v>
      </c>
      <c r="D176" t="s">
        <v>395</v>
      </c>
    </row>
    <row r="177" spans="1:4" x14ac:dyDescent="0.3">
      <c r="A177" t="s">
        <v>283</v>
      </c>
      <c r="B177" t="s">
        <v>284</v>
      </c>
      <c r="C177" t="s">
        <v>396</v>
      </c>
      <c r="D177" t="s">
        <v>397</v>
      </c>
    </row>
    <row r="178" spans="1:4" x14ac:dyDescent="0.3">
      <c r="A178" t="s">
        <v>283</v>
      </c>
      <c r="B178" t="s">
        <v>284</v>
      </c>
      <c r="C178" t="s">
        <v>398</v>
      </c>
      <c r="D178" t="s">
        <v>399</v>
      </c>
    </row>
    <row r="179" spans="1:4" x14ac:dyDescent="0.3">
      <c r="A179" t="s">
        <v>283</v>
      </c>
      <c r="B179" t="s">
        <v>284</v>
      </c>
      <c r="C179" t="s">
        <v>400</v>
      </c>
      <c r="D179" t="s">
        <v>401</v>
      </c>
    </row>
    <row r="180" spans="1:4" x14ac:dyDescent="0.3">
      <c r="A180" t="s">
        <v>283</v>
      </c>
      <c r="B180" t="s">
        <v>284</v>
      </c>
      <c r="C180" t="s">
        <v>402</v>
      </c>
      <c r="D180" t="s">
        <v>403</v>
      </c>
    </row>
    <row r="181" spans="1:4" x14ac:dyDescent="0.3">
      <c r="A181" t="s">
        <v>283</v>
      </c>
      <c r="B181" t="s">
        <v>284</v>
      </c>
      <c r="C181" t="s">
        <v>404</v>
      </c>
      <c r="D181" t="s">
        <v>405</v>
      </c>
    </row>
    <row r="182" spans="1:4" x14ac:dyDescent="0.3">
      <c r="A182" t="s">
        <v>283</v>
      </c>
      <c r="B182" t="s">
        <v>284</v>
      </c>
      <c r="C182" t="s">
        <v>406</v>
      </c>
      <c r="D182" t="s">
        <v>407</v>
      </c>
    </row>
    <row r="183" spans="1:4" x14ac:dyDescent="0.3">
      <c r="A183" t="s">
        <v>283</v>
      </c>
      <c r="B183" t="s">
        <v>284</v>
      </c>
      <c r="C183" t="s">
        <v>408</v>
      </c>
      <c r="D183" t="s">
        <v>409</v>
      </c>
    </row>
    <row r="184" spans="1:4" x14ac:dyDescent="0.3">
      <c r="A184" t="s">
        <v>283</v>
      </c>
      <c r="B184" t="s">
        <v>284</v>
      </c>
      <c r="C184" t="s">
        <v>410</v>
      </c>
      <c r="D184" t="s">
        <v>411</v>
      </c>
    </row>
    <row r="185" spans="1:4" x14ac:dyDescent="0.3">
      <c r="A185" t="s">
        <v>283</v>
      </c>
      <c r="B185" t="s">
        <v>284</v>
      </c>
      <c r="C185" t="s">
        <v>412</v>
      </c>
      <c r="D185" t="s">
        <v>413</v>
      </c>
    </row>
    <row r="186" spans="1:4" x14ac:dyDescent="0.3">
      <c r="A186" t="s">
        <v>283</v>
      </c>
      <c r="B186" t="s">
        <v>284</v>
      </c>
      <c r="C186" t="s">
        <v>414</v>
      </c>
      <c r="D186" t="s">
        <v>415</v>
      </c>
    </row>
    <row r="187" spans="1:4" x14ac:dyDescent="0.3">
      <c r="A187" t="s">
        <v>283</v>
      </c>
      <c r="B187" t="s">
        <v>284</v>
      </c>
      <c r="C187" t="s">
        <v>416</v>
      </c>
      <c r="D187" t="s">
        <v>417</v>
      </c>
    </row>
    <row r="188" spans="1:4" x14ac:dyDescent="0.3">
      <c r="A188" t="s">
        <v>283</v>
      </c>
      <c r="B188" t="s">
        <v>284</v>
      </c>
      <c r="C188" t="s">
        <v>418</v>
      </c>
      <c r="D188" t="s">
        <v>419</v>
      </c>
    </row>
    <row r="189" spans="1:4" x14ac:dyDescent="0.3">
      <c r="A189" t="s">
        <v>283</v>
      </c>
      <c r="B189" t="s">
        <v>284</v>
      </c>
      <c r="C189" t="s">
        <v>420</v>
      </c>
      <c r="D189" t="s">
        <v>421</v>
      </c>
    </row>
    <row r="190" spans="1:4" x14ac:dyDescent="0.3">
      <c r="A190" t="s">
        <v>283</v>
      </c>
      <c r="B190" t="s">
        <v>284</v>
      </c>
      <c r="C190" t="s">
        <v>422</v>
      </c>
      <c r="D190" t="s">
        <v>423</v>
      </c>
    </row>
    <row r="191" spans="1:4" x14ac:dyDescent="0.3">
      <c r="A191" t="s">
        <v>283</v>
      </c>
      <c r="B191" t="s">
        <v>284</v>
      </c>
      <c r="C191" t="s">
        <v>424</v>
      </c>
      <c r="D191" t="s">
        <v>425</v>
      </c>
    </row>
    <row r="192" spans="1:4" x14ac:dyDescent="0.3">
      <c r="A192" t="s">
        <v>283</v>
      </c>
      <c r="B192" t="s">
        <v>284</v>
      </c>
      <c r="C192" t="s">
        <v>426</v>
      </c>
      <c r="D192" t="s">
        <v>427</v>
      </c>
    </row>
    <row r="193" spans="1:4" x14ac:dyDescent="0.3">
      <c r="A193" t="s">
        <v>283</v>
      </c>
      <c r="B193" t="s">
        <v>284</v>
      </c>
      <c r="C193" t="s">
        <v>428</v>
      </c>
      <c r="D193" t="s">
        <v>429</v>
      </c>
    </row>
    <row r="194" spans="1:4" x14ac:dyDescent="0.3">
      <c r="A194" t="s">
        <v>283</v>
      </c>
      <c r="B194" t="s">
        <v>284</v>
      </c>
      <c r="C194" t="s">
        <v>4125</v>
      </c>
      <c r="D194" t="s">
        <v>4126</v>
      </c>
    </row>
    <row r="195" spans="1:4" x14ac:dyDescent="0.3">
      <c r="A195" t="s">
        <v>283</v>
      </c>
      <c r="B195" t="s">
        <v>284</v>
      </c>
      <c r="C195" t="s">
        <v>430</v>
      </c>
      <c r="D195" t="s">
        <v>431</v>
      </c>
    </row>
    <row r="196" spans="1:4" x14ac:dyDescent="0.3">
      <c r="A196" t="s">
        <v>283</v>
      </c>
      <c r="B196" t="s">
        <v>284</v>
      </c>
      <c r="C196" t="s">
        <v>432</v>
      </c>
      <c r="D196" t="s">
        <v>433</v>
      </c>
    </row>
    <row r="197" spans="1:4" x14ac:dyDescent="0.3">
      <c r="A197" t="s">
        <v>283</v>
      </c>
      <c r="B197" t="s">
        <v>284</v>
      </c>
      <c r="C197" t="s">
        <v>434</v>
      </c>
      <c r="D197" t="s">
        <v>435</v>
      </c>
    </row>
    <row r="198" spans="1:4" x14ac:dyDescent="0.3">
      <c r="A198" t="s">
        <v>283</v>
      </c>
      <c r="B198" t="s">
        <v>284</v>
      </c>
      <c r="C198" t="s">
        <v>436</v>
      </c>
      <c r="D198" t="s">
        <v>437</v>
      </c>
    </row>
    <row r="199" spans="1:4" x14ac:dyDescent="0.3">
      <c r="A199" t="s">
        <v>283</v>
      </c>
      <c r="B199" t="s">
        <v>284</v>
      </c>
      <c r="C199" t="s">
        <v>438</v>
      </c>
      <c r="D199" t="s">
        <v>439</v>
      </c>
    </row>
    <row r="200" spans="1:4" x14ac:dyDescent="0.3">
      <c r="A200" t="s">
        <v>283</v>
      </c>
      <c r="B200" t="s">
        <v>284</v>
      </c>
      <c r="C200" t="s">
        <v>440</v>
      </c>
      <c r="D200" t="s">
        <v>441</v>
      </c>
    </row>
    <row r="201" spans="1:4" x14ac:dyDescent="0.3">
      <c r="A201" t="s">
        <v>283</v>
      </c>
      <c r="B201" t="s">
        <v>284</v>
      </c>
      <c r="C201" t="s">
        <v>442</v>
      </c>
      <c r="D201" t="s">
        <v>443</v>
      </c>
    </row>
    <row r="202" spans="1:4" x14ac:dyDescent="0.3">
      <c r="A202" t="s">
        <v>283</v>
      </c>
      <c r="B202" t="s">
        <v>284</v>
      </c>
      <c r="C202" t="s">
        <v>444</v>
      </c>
      <c r="D202" t="s">
        <v>445</v>
      </c>
    </row>
    <row r="203" spans="1:4" x14ac:dyDescent="0.3">
      <c r="A203" t="s">
        <v>283</v>
      </c>
      <c r="B203" t="s">
        <v>284</v>
      </c>
      <c r="C203" t="s">
        <v>446</v>
      </c>
      <c r="D203" t="s">
        <v>447</v>
      </c>
    </row>
    <row r="204" spans="1:4" x14ac:dyDescent="0.3">
      <c r="A204" t="s">
        <v>283</v>
      </c>
      <c r="B204" t="s">
        <v>284</v>
      </c>
      <c r="C204" t="s">
        <v>448</v>
      </c>
      <c r="D204" t="s">
        <v>449</v>
      </c>
    </row>
    <row r="205" spans="1:4" x14ac:dyDescent="0.3">
      <c r="A205" t="s">
        <v>283</v>
      </c>
      <c r="B205" t="s">
        <v>284</v>
      </c>
      <c r="C205" t="s">
        <v>450</v>
      </c>
      <c r="D205" t="s">
        <v>451</v>
      </c>
    </row>
    <row r="206" spans="1:4" x14ac:dyDescent="0.3">
      <c r="A206" t="s">
        <v>283</v>
      </c>
      <c r="B206" t="s">
        <v>284</v>
      </c>
      <c r="C206" t="s">
        <v>452</v>
      </c>
      <c r="D206" t="s">
        <v>453</v>
      </c>
    </row>
    <row r="207" spans="1:4" x14ac:dyDescent="0.3">
      <c r="A207" t="s">
        <v>283</v>
      </c>
      <c r="B207" t="s">
        <v>284</v>
      </c>
      <c r="C207" t="s">
        <v>454</v>
      </c>
      <c r="D207" t="s">
        <v>455</v>
      </c>
    </row>
    <row r="208" spans="1:4" x14ac:dyDescent="0.3">
      <c r="A208" t="s">
        <v>283</v>
      </c>
      <c r="B208" t="s">
        <v>284</v>
      </c>
      <c r="C208" t="s">
        <v>456</v>
      </c>
      <c r="D208" t="s">
        <v>457</v>
      </c>
    </row>
    <row r="209" spans="1:4" x14ac:dyDescent="0.3">
      <c r="A209" t="s">
        <v>283</v>
      </c>
      <c r="B209" t="s">
        <v>284</v>
      </c>
      <c r="C209" t="s">
        <v>458</v>
      </c>
      <c r="D209" t="s">
        <v>459</v>
      </c>
    </row>
    <row r="210" spans="1:4" x14ac:dyDescent="0.3">
      <c r="A210" t="s">
        <v>283</v>
      </c>
      <c r="B210" t="s">
        <v>284</v>
      </c>
      <c r="C210" t="s">
        <v>460</v>
      </c>
      <c r="D210" t="s">
        <v>461</v>
      </c>
    </row>
    <row r="211" spans="1:4" x14ac:dyDescent="0.3">
      <c r="A211" t="s">
        <v>283</v>
      </c>
      <c r="B211" t="s">
        <v>284</v>
      </c>
      <c r="C211" t="s">
        <v>462</v>
      </c>
      <c r="D211" t="s">
        <v>463</v>
      </c>
    </row>
    <row r="212" spans="1:4" x14ac:dyDescent="0.3">
      <c r="A212" t="s">
        <v>283</v>
      </c>
      <c r="B212" t="s">
        <v>284</v>
      </c>
      <c r="C212" t="s">
        <v>464</v>
      </c>
      <c r="D212" t="s">
        <v>465</v>
      </c>
    </row>
    <row r="213" spans="1:4" x14ac:dyDescent="0.3">
      <c r="A213" t="s">
        <v>283</v>
      </c>
      <c r="B213" t="s">
        <v>284</v>
      </c>
      <c r="C213" t="s">
        <v>466</v>
      </c>
      <c r="D213" t="s">
        <v>467</v>
      </c>
    </row>
    <row r="214" spans="1:4" x14ac:dyDescent="0.3">
      <c r="A214" t="s">
        <v>283</v>
      </c>
      <c r="B214" t="s">
        <v>284</v>
      </c>
      <c r="C214" t="s">
        <v>468</v>
      </c>
      <c r="D214" t="s">
        <v>469</v>
      </c>
    </row>
    <row r="215" spans="1:4" x14ac:dyDescent="0.3">
      <c r="A215" t="s">
        <v>283</v>
      </c>
      <c r="B215" t="s">
        <v>284</v>
      </c>
      <c r="C215" t="s">
        <v>470</v>
      </c>
      <c r="D215" t="s">
        <v>471</v>
      </c>
    </row>
    <row r="216" spans="1:4" x14ac:dyDescent="0.3">
      <c r="A216" t="s">
        <v>283</v>
      </c>
      <c r="B216" t="s">
        <v>284</v>
      </c>
      <c r="C216" t="s">
        <v>472</v>
      </c>
      <c r="D216" t="s">
        <v>473</v>
      </c>
    </row>
    <row r="217" spans="1:4" x14ac:dyDescent="0.3">
      <c r="A217" t="s">
        <v>283</v>
      </c>
      <c r="B217" t="s">
        <v>284</v>
      </c>
      <c r="C217" t="s">
        <v>474</v>
      </c>
      <c r="D217" t="s">
        <v>475</v>
      </c>
    </row>
    <row r="218" spans="1:4" x14ac:dyDescent="0.3">
      <c r="A218" t="s">
        <v>283</v>
      </c>
      <c r="B218" t="s">
        <v>284</v>
      </c>
      <c r="C218" t="s">
        <v>476</v>
      </c>
      <c r="D218" t="s">
        <v>477</v>
      </c>
    </row>
    <row r="219" spans="1:4" x14ac:dyDescent="0.3">
      <c r="A219" t="s">
        <v>283</v>
      </c>
      <c r="B219" t="s">
        <v>284</v>
      </c>
      <c r="C219" t="s">
        <v>478</v>
      </c>
      <c r="D219" t="s">
        <v>479</v>
      </c>
    </row>
    <row r="220" spans="1:4" x14ac:dyDescent="0.3">
      <c r="A220" t="s">
        <v>283</v>
      </c>
      <c r="B220" t="s">
        <v>284</v>
      </c>
      <c r="C220" t="s">
        <v>480</v>
      </c>
      <c r="D220" t="s">
        <v>481</v>
      </c>
    </row>
    <row r="221" spans="1:4" x14ac:dyDescent="0.3">
      <c r="A221" t="s">
        <v>283</v>
      </c>
      <c r="B221" t="s">
        <v>284</v>
      </c>
      <c r="C221" t="s">
        <v>482</v>
      </c>
      <c r="D221" t="s">
        <v>483</v>
      </c>
    </row>
    <row r="222" spans="1:4" x14ac:dyDescent="0.3">
      <c r="A222" t="s">
        <v>283</v>
      </c>
      <c r="B222" t="s">
        <v>284</v>
      </c>
      <c r="C222" t="s">
        <v>484</v>
      </c>
      <c r="D222" t="s">
        <v>485</v>
      </c>
    </row>
    <row r="223" spans="1:4" x14ac:dyDescent="0.3">
      <c r="A223" t="s">
        <v>283</v>
      </c>
      <c r="B223" t="s">
        <v>284</v>
      </c>
      <c r="C223" t="s">
        <v>486</v>
      </c>
      <c r="D223" t="s">
        <v>487</v>
      </c>
    </row>
    <row r="224" spans="1:4" x14ac:dyDescent="0.3">
      <c r="A224" t="s">
        <v>283</v>
      </c>
      <c r="B224" t="s">
        <v>284</v>
      </c>
      <c r="C224" t="s">
        <v>488</v>
      </c>
      <c r="D224" t="s">
        <v>489</v>
      </c>
    </row>
    <row r="225" spans="1:4" x14ac:dyDescent="0.3">
      <c r="A225" t="s">
        <v>283</v>
      </c>
      <c r="B225" t="s">
        <v>284</v>
      </c>
      <c r="C225" t="s">
        <v>4235</v>
      </c>
      <c r="D225" t="s">
        <v>4226</v>
      </c>
    </row>
    <row r="226" spans="1:4" x14ac:dyDescent="0.3">
      <c r="A226" t="s">
        <v>283</v>
      </c>
      <c r="B226" t="s">
        <v>284</v>
      </c>
      <c r="C226" t="s">
        <v>490</v>
      </c>
      <c r="D226" t="s">
        <v>491</v>
      </c>
    </row>
    <row r="227" spans="1:4" x14ac:dyDescent="0.3">
      <c r="A227" t="s">
        <v>283</v>
      </c>
      <c r="B227" t="s">
        <v>284</v>
      </c>
      <c r="C227" t="s">
        <v>492</v>
      </c>
      <c r="D227" t="s">
        <v>493</v>
      </c>
    </row>
    <row r="228" spans="1:4" x14ac:dyDescent="0.3">
      <c r="A228" t="s">
        <v>283</v>
      </c>
      <c r="B228" t="s">
        <v>284</v>
      </c>
      <c r="C228" t="s">
        <v>494</v>
      </c>
      <c r="D228" t="s">
        <v>495</v>
      </c>
    </row>
    <row r="229" spans="1:4" x14ac:dyDescent="0.3">
      <c r="A229" t="s">
        <v>283</v>
      </c>
      <c r="B229" t="s">
        <v>284</v>
      </c>
      <c r="C229" t="s">
        <v>496</v>
      </c>
      <c r="D229" t="s">
        <v>497</v>
      </c>
    </row>
    <row r="230" spans="1:4" x14ac:dyDescent="0.3">
      <c r="A230" t="s">
        <v>283</v>
      </c>
      <c r="B230" t="s">
        <v>284</v>
      </c>
      <c r="C230" t="s">
        <v>498</v>
      </c>
      <c r="D230" t="s">
        <v>499</v>
      </c>
    </row>
    <row r="231" spans="1:4" x14ac:dyDescent="0.3">
      <c r="A231" t="s">
        <v>283</v>
      </c>
      <c r="B231" t="s">
        <v>284</v>
      </c>
      <c r="C231" t="s">
        <v>500</v>
      </c>
      <c r="D231" t="s">
        <v>501</v>
      </c>
    </row>
    <row r="232" spans="1:4" x14ac:dyDescent="0.3">
      <c r="A232" t="s">
        <v>283</v>
      </c>
      <c r="B232" t="s">
        <v>284</v>
      </c>
      <c r="C232" t="s">
        <v>502</v>
      </c>
      <c r="D232" t="s">
        <v>503</v>
      </c>
    </row>
    <row r="233" spans="1:4" x14ac:dyDescent="0.3">
      <c r="A233" t="s">
        <v>283</v>
      </c>
      <c r="B233" t="s">
        <v>284</v>
      </c>
      <c r="C233" t="s">
        <v>504</v>
      </c>
      <c r="D233" t="s">
        <v>505</v>
      </c>
    </row>
    <row r="234" spans="1:4" x14ac:dyDescent="0.3">
      <c r="A234" t="s">
        <v>283</v>
      </c>
      <c r="B234" t="s">
        <v>284</v>
      </c>
      <c r="C234" t="s">
        <v>506</v>
      </c>
      <c r="D234" t="s">
        <v>507</v>
      </c>
    </row>
    <row r="235" spans="1:4" x14ac:dyDescent="0.3">
      <c r="A235" t="s">
        <v>283</v>
      </c>
      <c r="B235" t="s">
        <v>284</v>
      </c>
      <c r="C235" t="s">
        <v>508</v>
      </c>
      <c r="D235" t="s">
        <v>509</v>
      </c>
    </row>
    <row r="236" spans="1:4" x14ac:dyDescent="0.3">
      <c r="A236" t="s">
        <v>283</v>
      </c>
      <c r="B236" t="s">
        <v>284</v>
      </c>
      <c r="C236" t="s">
        <v>510</v>
      </c>
      <c r="D236" t="s">
        <v>511</v>
      </c>
    </row>
    <row r="237" spans="1:4" x14ac:dyDescent="0.3">
      <c r="A237" t="s">
        <v>283</v>
      </c>
      <c r="B237" t="s">
        <v>284</v>
      </c>
      <c r="C237" t="s">
        <v>512</v>
      </c>
      <c r="D237" t="s">
        <v>513</v>
      </c>
    </row>
    <row r="238" spans="1:4" x14ac:dyDescent="0.3">
      <c r="A238" t="s">
        <v>283</v>
      </c>
      <c r="B238" t="s">
        <v>284</v>
      </c>
      <c r="C238" t="s">
        <v>514</v>
      </c>
      <c r="D238" t="s">
        <v>515</v>
      </c>
    </row>
    <row r="239" spans="1:4" x14ac:dyDescent="0.3">
      <c r="A239" t="s">
        <v>283</v>
      </c>
      <c r="B239" t="s">
        <v>284</v>
      </c>
      <c r="C239" t="s">
        <v>516</v>
      </c>
      <c r="D239" t="s">
        <v>517</v>
      </c>
    </row>
    <row r="240" spans="1:4" x14ac:dyDescent="0.3">
      <c r="A240" t="s">
        <v>283</v>
      </c>
      <c r="B240" t="s">
        <v>284</v>
      </c>
      <c r="C240" t="s">
        <v>518</v>
      </c>
      <c r="D240" t="s">
        <v>519</v>
      </c>
    </row>
    <row r="241" spans="1:4" x14ac:dyDescent="0.3">
      <c r="A241" t="s">
        <v>283</v>
      </c>
      <c r="B241" t="s">
        <v>284</v>
      </c>
      <c r="C241" t="s">
        <v>520</v>
      </c>
      <c r="D241" t="s">
        <v>521</v>
      </c>
    </row>
    <row r="242" spans="1:4" x14ac:dyDescent="0.3">
      <c r="A242" t="s">
        <v>522</v>
      </c>
      <c r="B242" t="s">
        <v>523</v>
      </c>
      <c r="C242" t="s">
        <v>524</v>
      </c>
      <c r="D242" t="s">
        <v>525</v>
      </c>
    </row>
    <row r="243" spans="1:4" x14ac:dyDescent="0.3">
      <c r="A243" t="s">
        <v>522</v>
      </c>
      <c r="B243" t="s">
        <v>523</v>
      </c>
      <c r="C243" t="s">
        <v>526</v>
      </c>
      <c r="D243" t="s">
        <v>527</v>
      </c>
    </row>
    <row r="244" spans="1:4" x14ac:dyDescent="0.3">
      <c r="A244" t="s">
        <v>522</v>
      </c>
      <c r="B244" t="s">
        <v>523</v>
      </c>
      <c r="C244" t="s">
        <v>528</v>
      </c>
      <c r="D244" t="s">
        <v>529</v>
      </c>
    </row>
    <row r="245" spans="1:4" x14ac:dyDescent="0.3">
      <c r="A245" t="s">
        <v>522</v>
      </c>
      <c r="B245" t="s">
        <v>523</v>
      </c>
      <c r="C245" t="s">
        <v>530</v>
      </c>
      <c r="D245" t="s">
        <v>531</v>
      </c>
    </row>
    <row r="246" spans="1:4" x14ac:dyDescent="0.3">
      <c r="A246" t="s">
        <v>522</v>
      </c>
      <c r="B246" t="s">
        <v>523</v>
      </c>
      <c r="C246" t="s">
        <v>532</v>
      </c>
      <c r="D246" t="s">
        <v>533</v>
      </c>
    </row>
    <row r="247" spans="1:4" x14ac:dyDescent="0.3">
      <c r="A247" t="s">
        <v>522</v>
      </c>
      <c r="B247" t="s">
        <v>523</v>
      </c>
      <c r="C247" t="s">
        <v>534</v>
      </c>
      <c r="D247" t="s">
        <v>535</v>
      </c>
    </row>
    <row r="248" spans="1:4" x14ac:dyDescent="0.3">
      <c r="A248" t="s">
        <v>522</v>
      </c>
      <c r="B248" t="s">
        <v>523</v>
      </c>
      <c r="C248" t="s">
        <v>536</v>
      </c>
      <c r="D248" t="s">
        <v>537</v>
      </c>
    </row>
    <row r="249" spans="1:4" x14ac:dyDescent="0.3">
      <c r="A249" t="s">
        <v>522</v>
      </c>
      <c r="B249" t="s">
        <v>523</v>
      </c>
      <c r="C249" t="s">
        <v>538</v>
      </c>
      <c r="D249" t="s">
        <v>539</v>
      </c>
    </row>
    <row r="250" spans="1:4" x14ac:dyDescent="0.3">
      <c r="A250" t="s">
        <v>522</v>
      </c>
      <c r="B250" t="s">
        <v>523</v>
      </c>
      <c r="C250" t="s">
        <v>540</v>
      </c>
      <c r="D250" t="s">
        <v>541</v>
      </c>
    </row>
    <row r="251" spans="1:4" x14ac:dyDescent="0.3">
      <c r="A251" t="s">
        <v>522</v>
      </c>
      <c r="B251" t="s">
        <v>523</v>
      </c>
      <c r="C251" t="s">
        <v>542</v>
      </c>
      <c r="D251" t="s">
        <v>543</v>
      </c>
    </row>
    <row r="252" spans="1:4" x14ac:dyDescent="0.3">
      <c r="A252" t="s">
        <v>522</v>
      </c>
      <c r="B252" t="s">
        <v>523</v>
      </c>
      <c r="C252" t="s">
        <v>544</v>
      </c>
      <c r="D252" t="s">
        <v>545</v>
      </c>
    </row>
    <row r="253" spans="1:4" x14ac:dyDescent="0.3">
      <c r="A253" t="s">
        <v>522</v>
      </c>
      <c r="B253" t="s">
        <v>523</v>
      </c>
      <c r="C253" t="s">
        <v>546</v>
      </c>
      <c r="D253" t="s">
        <v>547</v>
      </c>
    </row>
    <row r="254" spans="1:4" x14ac:dyDescent="0.3">
      <c r="A254" t="s">
        <v>522</v>
      </c>
      <c r="B254" t="s">
        <v>523</v>
      </c>
      <c r="C254" t="s">
        <v>548</v>
      </c>
      <c r="D254" t="s">
        <v>549</v>
      </c>
    </row>
    <row r="255" spans="1:4" x14ac:dyDescent="0.3">
      <c r="A255" t="s">
        <v>522</v>
      </c>
      <c r="B255" t="s">
        <v>523</v>
      </c>
      <c r="C255" t="s">
        <v>550</v>
      </c>
      <c r="D255" t="s">
        <v>551</v>
      </c>
    </row>
    <row r="256" spans="1:4" x14ac:dyDescent="0.3">
      <c r="A256" t="s">
        <v>522</v>
      </c>
      <c r="B256" t="s">
        <v>523</v>
      </c>
      <c r="C256" t="s">
        <v>552</v>
      </c>
      <c r="D256" t="s">
        <v>553</v>
      </c>
    </row>
    <row r="257" spans="1:4" x14ac:dyDescent="0.3">
      <c r="A257" t="s">
        <v>522</v>
      </c>
      <c r="B257" t="s">
        <v>523</v>
      </c>
      <c r="C257" t="s">
        <v>554</v>
      </c>
      <c r="D257" t="s">
        <v>555</v>
      </c>
    </row>
    <row r="258" spans="1:4" x14ac:dyDescent="0.3">
      <c r="A258" t="s">
        <v>522</v>
      </c>
      <c r="B258" t="s">
        <v>523</v>
      </c>
      <c r="C258" t="s">
        <v>556</v>
      </c>
      <c r="D258" t="s">
        <v>557</v>
      </c>
    </row>
    <row r="259" spans="1:4" x14ac:dyDescent="0.3">
      <c r="A259" t="s">
        <v>522</v>
      </c>
      <c r="B259" t="s">
        <v>523</v>
      </c>
      <c r="C259" t="s">
        <v>558</v>
      </c>
      <c r="D259" t="s">
        <v>559</v>
      </c>
    </row>
    <row r="260" spans="1:4" x14ac:dyDescent="0.3">
      <c r="A260" t="s">
        <v>522</v>
      </c>
      <c r="B260" t="s">
        <v>523</v>
      </c>
      <c r="C260" t="s">
        <v>560</v>
      </c>
      <c r="D260" t="s">
        <v>561</v>
      </c>
    </row>
    <row r="261" spans="1:4" x14ac:dyDescent="0.3">
      <c r="A261" t="s">
        <v>522</v>
      </c>
      <c r="B261" t="s">
        <v>523</v>
      </c>
      <c r="C261" t="s">
        <v>562</v>
      </c>
      <c r="D261" t="s">
        <v>563</v>
      </c>
    </row>
    <row r="262" spans="1:4" x14ac:dyDescent="0.3">
      <c r="A262" t="s">
        <v>522</v>
      </c>
      <c r="B262" t="s">
        <v>523</v>
      </c>
      <c r="C262" t="s">
        <v>564</v>
      </c>
      <c r="D262" t="s">
        <v>565</v>
      </c>
    </row>
    <row r="263" spans="1:4" x14ac:dyDescent="0.3">
      <c r="A263" t="s">
        <v>522</v>
      </c>
      <c r="B263" t="s">
        <v>523</v>
      </c>
      <c r="C263" t="s">
        <v>566</v>
      </c>
      <c r="D263" t="s">
        <v>567</v>
      </c>
    </row>
    <row r="264" spans="1:4" x14ac:dyDescent="0.3">
      <c r="A264" t="s">
        <v>522</v>
      </c>
      <c r="B264" t="s">
        <v>523</v>
      </c>
      <c r="C264" t="s">
        <v>568</v>
      </c>
      <c r="D264" t="s">
        <v>569</v>
      </c>
    </row>
    <row r="265" spans="1:4" x14ac:dyDescent="0.3">
      <c r="A265" t="s">
        <v>522</v>
      </c>
      <c r="B265" t="s">
        <v>523</v>
      </c>
      <c r="C265" t="s">
        <v>570</v>
      </c>
      <c r="D265" t="s">
        <v>571</v>
      </c>
    </row>
    <row r="266" spans="1:4" x14ac:dyDescent="0.3">
      <c r="A266" t="s">
        <v>522</v>
      </c>
      <c r="B266" t="s">
        <v>523</v>
      </c>
      <c r="C266" t="s">
        <v>572</v>
      </c>
      <c r="D266" t="s">
        <v>573</v>
      </c>
    </row>
    <row r="267" spans="1:4" x14ac:dyDescent="0.3">
      <c r="A267" t="s">
        <v>522</v>
      </c>
      <c r="B267" t="s">
        <v>523</v>
      </c>
      <c r="C267" t="s">
        <v>574</v>
      </c>
      <c r="D267" t="s">
        <v>575</v>
      </c>
    </row>
    <row r="268" spans="1:4" x14ac:dyDescent="0.3">
      <c r="A268" t="s">
        <v>522</v>
      </c>
      <c r="B268" t="s">
        <v>523</v>
      </c>
      <c r="C268" t="s">
        <v>576</v>
      </c>
      <c r="D268" t="s">
        <v>577</v>
      </c>
    </row>
    <row r="269" spans="1:4" x14ac:dyDescent="0.3">
      <c r="A269" t="s">
        <v>522</v>
      </c>
      <c r="B269" t="s">
        <v>523</v>
      </c>
      <c r="C269" t="s">
        <v>578</v>
      </c>
      <c r="D269" t="s">
        <v>579</v>
      </c>
    </row>
    <row r="270" spans="1:4" x14ac:dyDescent="0.3">
      <c r="A270" t="s">
        <v>522</v>
      </c>
      <c r="B270" t="s">
        <v>523</v>
      </c>
      <c r="C270" t="s">
        <v>580</v>
      </c>
      <c r="D270" t="s">
        <v>581</v>
      </c>
    </row>
    <row r="271" spans="1:4" x14ac:dyDescent="0.3">
      <c r="A271" t="s">
        <v>522</v>
      </c>
      <c r="B271" t="s">
        <v>523</v>
      </c>
      <c r="C271" t="s">
        <v>582</v>
      </c>
      <c r="D271" t="s">
        <v>583</v>
      </c>
    </row>
    <row r="272" spans="1:4" x14ac:dyDescent="0.3">
      <c r="A272" t="s">
        <v>522</v>
      </c>
      <c r="B272" t="s">
        <v>523</v>
      </c>
      <c r="C272" t="s">
        <v>584</v>
      </c>
      <c r="D272" t="s">
        <v>585</v>
      </c>
    </row>
    <row r="273" spans="1:4" x14ac:dyDescent="0.3">
      <c r="A273" t="s">
        <v>522</v>
      </c>
      <c r="B273" t="s">
        <v>523</v>
      </c>
      <c r="C273" t="s">
        <v>586</v>
      </c>
      <c r="D273" t="s">
        <v>587</v>
      </c>
    </row>
    <row r="274" spans="1:4" x14ac:dyDescent="0.3">
      <c r="A274" t="s">
        <v>522</v>
      </c>
      <c r="B274" t="s">
        <v>523</v>
      </c>
      <c r="C274" t="s">
        <v>588</v>
      </c>
      <c r="D274" t="s">
        <v>589</v>
      </c>
    </row>
    <row r="275" spans="1:4" x14ac:dyDescent="0.3">
      <c r="A275" t="s">
        <v>522</v>
      </c>
      <c r="B275" t="s">
        <v>523</v>
      </c>
      <c r="C275" t="s">
        <v>590</v>
      </c>
      <c r="D275" t="s">
        <v>591</v>
      </c>
    </row>
    <row r="276" spans="1:4" x14ac:dyDescent="0.3">
      <c r="A276" t="s">
        <v>522</v>
      </c>
      <c r="B276" t="s">
        <v>523</v>
      </c>
      <c r="C276" t="s">
        <v>592</v>
      </c>
      <c r="D276" t="s">
        <v>593</v>
      </c>
    </row>
    <row r="277" spans="1:4" x14ac:dyDescent="0.3">
      <c r="A277" t="s">
        <v>522</v>
      </c>
      <c r="B277" t="s">
        <v>523</v>
      </c>
      <c r="C277" t="s">
        <v>594</v>
      </c>
      <c r="D277" t="s">
        <v>595</v>
      </c>
    </row>
    <row r="278" spans="1:4" x14ac:dyDescent="0.3">
      <c r="A278" t="s">
        <v>522</v>
      </c>
      <c r="B278" t="s">
        <v>523</v>
      </c>
      <c r="C278" t="s">
        <v>596</v>
      </c>
      <c r="D278" t="s">
        <v>597</v>
      </c>
    </row>
    <row r="279" spans="1:4" x14ac:dyDescent="0.3">
      <c r="A279" t="s">
        <v>522</v>
      </c>
      <c r="B279" t="s">
        <v>523</v>
      </c>
      <c r="C279" t="s">
        <v>598</v>
      </c>
      <c r="D279" t="s">
        <v>599</v>
      </c>
    </row>
    <row r="280" spans="1:4" x14ac:dyDescent="0.3">
      <c r="A280" t="s">
        <v>522</v>
      </c>
      <c r="B280" t="s">
        <v>523</v>
      </c>
      <c r="C280" t="s">
        <v>600</v>
      </c>
      <c r="D280" t="s">
        <v>601</v>
      </c>
    </row>
    <row r="281" spans="1:4" x14ac:dyDescent="0.3">
      <c r="A281" t="s">
        <v>522</v>
      </c>
      <c r="B281" t="s">
        <v>523</v>
      </c>
      <c r="C281" t="s">
        <v>602</v>
      </c>
      <c r="D281" t="s">
        <v>603</v>
      </c>
    </row>
    <row r="282" spans="1:4" x14ac:dyDescent="0.3">
      <c r="A282" t="s">
        <v>522</v>
      </c>
      <c r="B282" t="s">
        <v>523</v>
      </c>
      <c r="C282" t="s">
        <v>604</v>
      </c>
      <c r="D282" t="s">
        <v>605</v>
      </c>
    </row>
    <row r="283" spans="1:4" x14ac:dyDescent="0.3">
      <c r="A283" t="s">
        <v>522</v>
      </c>
      <c r="B283" t="s">
        <v>523</v>
      </c>
      <c r="C283" t="s">
        <v>606</v>
      </c>
      <c r="D283" t="s">
        <v>607</v>
      </c>
    </row>
    <row r="284" spans="1:4" x14ac:dyDescent="0.3">
      <c r="A284" t="s">
        <v>522</v>
      </c>
      <c r="B284" t="s">
        <v>523</v>
      </c>
      <c r="C284" t="s">
        <v>608</v>
      </c>
      <c r="D284" t="s">
        <v>609</v>
      </c>
    </row>
    <row r="285" spans="1:4" x14ac:dyDescent="0.3">
      <c r="A285" t="s">
        <v>522</v>
      </c>
      <c r="B285" t="s">
        <v>523</v>
      </c>
      <c r="C285" t="s">
        <v>610</v>
      </c>
      <c r="D285" t="s">
        <v>611</v>
      </c>
    </row>
    <row r="286" spans="1:4" x14ac:dyDescent="0.3">
      <c r="A286" t="s">
        <v>522</v>
      </c>
      <c r="B286" t="s">
        <v>523</v>
      </c>
      <c r="C286" t="s">
        <v>612</v>
      </c>
      <c r="D286" t="s">
        <v>613</v>
      </c>
    </row>
    <row r="287" spans="1:4" x14ac:dyDescent="0.3">
      <c r="A287" t="s">
        <v>522</v>
      </c>
      <c r="B287" t="s">
        <v>523</v>
      </c>
      <c r="C287" t="s">
        <v>614</v>
      </c>
      <c r="D287" t="s">
        <v>615</v>
      </c>
    </row>
    <row r="288" spans="1:4" x14ac:dyDescent="0.3">
      <c r="A288" t="s">
        <v>522</v>
      </c>
      <c r="B288" t="s">
        <v>523</v>
      </c>
      <c r="C288" t="s">
        <v>616</v>
      </c>
      <c r="D288" t="s">
        <v>617</v>
      </c>
    </row>
    <row r="289" spans="1:4" x14ac:dyDescent="0.3">
      <c r="A289" t="s">
        <v>522</v>
      </c>
      <c r="B289" t="s">
        <v>523</v>
      </c>
      <c r="C289" t="s">
        <v>618</v>
      </c>
      <c r="D289" t="s">
        <v>619</v>
      </c>
    </row>
    <row r="290" spans="1:4" x14ac:dyDescent="0.3">
      <c r="A290" t="s">
        <v>522</v>
      </c>
      <c r="B290" t="s">
        <v>523</v>
      </c>
      <c r="C290" t="s">
        <v>620</v>
      </c>
      <c r="D290" t="s">
        <v>621</v>
      </c>
    </row>
    <row r="291" spans="1:4" x14ac:dyDescent="0.3">
      <c r="A291" t="s">
        <v>522</v>
      </c>
      <c r="B291" t="s">
        <v>523</v>
      </c>
      <c r="C291" t="s">
        <v>622</v>
      </c>
      <c r="D291" t="s">
        <v>623</v>
      </c>
    </row>
    <row r="292" spans="1:4" x14ac:dyDescent="0.3">
      <c r="A292" t="s">
        <v>522</v>
      </c>
      <c r="B292" t="s">
        <v>523</v>
      </c>
      <c r="C292" t="s">
        <v>624</v>
      </c>
      <c r="D292" t="s">
        <v>625</v>
      </c>
    </row>
    <row r="293" spans="1:4" x14ac:dyDescent="0.3">
      <c r="A293" t="s">
        <v>522</v>
      </c>
      <c r="B293" t="s">
        <v>523</v>
      </c>
      <c r="C293" t="s">
        <v>626</v>
      </c>
      <c r="D293" t="s">
        <v>627</v>
      </c>
    </row>
    <row r="294" spans="1:4" x14ac:dyDescent="0.3">
      <c r="A294" t="s">
        <v>522</v>
      </c>
      <c r="B294" t="s">
        <v>523</v>
      </c>
      <c r="C294" t="s">
        <v>628</v>
      </c>
      <c r="D294" t="s">
        <v>629</v>
      </c>
    </row>
    <row r="295" spans="1:4" x14ac:dyDescent="0.3">
      <c r="A295" t="s">
        <v>522</v>
      </c>
      <c r="B295" t="s">
        <v>523</v>
      </c>
      <c r="C295" t="s">
        <v>630</v>
      </c>
      <c r="D295" t="s">
        <v>631</v>
      </c>
    </row>
    <row r="296" spans="1:4" x14ac:dyDescent="0.3">
      <c r="A296" t="s">
        <v>522</v>
      </c>
      <c r="B296" t="s">
        <v>523</v>
      </c>
      <c r="C296" t="s">
        <v>632</v>
      </c>
      <c r="D296" t="s">
        <v>633</v>
      </c>
    </row>
    <row r="297" spans="1:4" x14ac:dyDescent="0.3">
      <c r="A297" t="s">
        <v>522</v>
      </c>
      <c r="B297" t="s">
        <v>523</v>
      </c>
      <c r="C297" t="s">
        <v>634</v>
      </c>
      <c r="D297" t="s">
        <v>635</v>
      </c>
    </row>
    <row r="298" spans="1:4" x14ac:dyDescent="0.3">
      <c r="A298" t="s">
        <v>522</v>
      </c>
      <c r="B298" t="s">
        <v>523</v>
      </c>
      <c r="C298" t="s">
        <v>636</v>
      </c>
      <c r="D298" t="s">
        <v>637</v>
      </c>
    </row>
    <row r="299" spans="1:4" x14ac:dyDescent="0.3">
      <c r="A299" t="s">
        <v>522</v>
      </c>
      <c r="B299" t="s">
        <v>523</v>
      </c>
      <c r="C299" t="s">
        <v>4127</v>
      </c>
      <c r="D299" t="s">
        <v>4128</v>
      </c>
    </row>
    <row r="300" spans="1:4" x14ac:dyDescent="0.3">
      <c r="A300" t="s">
        <v>522</v>
      </c>
      <c r="B300" t="s">
        <v>523</v>
      </c>
      <c r="C300" t="s">
        <v>638</v>
      </c>
      <c r="D300" t="s">
        <v>639</v>
      </c>
    </row>
    <row r="301" spans="1:4" x14ac:dyDescent="0.3">
      <c r="A301" t="s">
        <v>522</v>
      </c>
      <c r="B301" t="s">
        <v>523</v>
      </c>
      <c r="C301" t="s">
        <v>166</v>
      </c>
      <c r="D301" t="s">
        <v>640</v>
      </c>
    </row>
    <row r="302" spans="1:4" x14ac:dyDescent="0.3">
      <c r="A302" t="s">
        <v>522</v>
      </c>
      <c r="B302" t="s">
        <v>523</v>
      </c>
      <c r="C302" t="s">
        <v>641</v>
      </c>
      <c r="D302" t="s">
        <v>642</v>
      </c>
    </row>
    <row r="303" spans="1:4" x14ac:dyDescent="0.3">
      <c r="A303" t="s">
        <v>522</v>
      </c>
      <c r="B303" t="s">
        <v>523</v>
      </c>
      <c r="C303" t="s">
        <v>643</v>
      </c>
      <c r="D303" t="s">
        <v>644</v>
      </c>
    </row>
    <row r="304" spans="1:4" x14ac:dyDescent="0.3">
      <c r="A304" t="s">
        <v>522</v>
      </c>
      <c r="B304" t="s">
        <v>523</v>
      </c>
      <c r="C304" t="s">
        <v>645</v>
      </c>
      <c r="D304" t="s">
        <v>646</v>
      </c>
    </row>
    <row r="305" spans="1:4" x14ac:dyDescent="0.3">
      <c r="A305" t="s">
        <v>522</v>
      </c>
      <c r="B305" t="s">
        <v>523</v>
      </c>
      <c r="C305" t="s">
        <v>647</v>
      </c>
      <c r="D305" t="s">
        <v>648</v>
      </c>
    </row>
    <row r="306" spans="1:4" x14ac:dyDescent="0.3">
      <c r="A306" t="s">
        <v>522</v>
      </c>
      <c r="B306" t="s">
        <v>523</v>
      </c>
      <c r="C306" t="s">
        <v>649</v>
      </c>
      <c r="D306" t="s">
        <v>650</v>
      </c>
    </row>
    <row r="307" spans="1:4" x14ac:dyDescent="0.3">
      <c r="A307" t="s">
        <v>522</v>
      </c>
      <c r="B307" t="s">
        <v>523</v>
      </c>
      <c r="C307" t="s">
        <v>651</v>
      </c>
      <c r="D307" t="s">
        <v>652</v>
      </c>
    </row>
    <row r="308" spans="1:4" x14ac:dyDescent="0.3">
      <c r="A308" t="s">
        <v>522</v>
      </c>
      <c r="B308" t="s">
        <v>523</v>
      </c>
      <c r="C308" t="s">
        <v>653</v>
      </c>
      <c r="D308" t="s">
        <v>654</v>
      </c>
    </row>
    <row r="309" spans="1:4" x14ac:dyDescent="0.3">
      <c r="A309" t="s">
        <v>522</v>
      </c>
      <c r="B309" t="s">
        <v>523</v>
      </c>
      <c r="C309" t="s">
        <v>655</v>
      </c>
      <c r="D309" t="s">
        <v>656</v>
      </c>
    </row>
    <row r="310" spans="1:4" x14ac:dyDescent="0.3">
      <c r="A310" t="s">
        <v>522</v>
      </c>
      <c r="B310" t="s">
        <v>523</v>
      </c>
      <c r="C310" t="s">
        <v>657</v>
      </c>
      <c r="D310" t="s">
        <v>658</v>
      </c>
    </row>
    <row r="311" spans="1:4" x14ac:dyDescent="0.3">
      <c r="A311" t="s">
        <v>522</v>
      </c>
      <c r="B311" t="s">
        <v>523</v>
      </c>
      <c r="C311" t="s">
        <v>659</v>
      </c>
      <c r="D311" t="s">
        <v>660</v>
      </c>
    </row>
    <row r="312" spans="1:4" x14ac:dyDescent="0.3">
      <c r="A312" t="s">
        <v>522</v>
      </c>
      <c r="B312" t="s">
        <v>523</v>
      </c>
      <c r="C312" t="s">
        <v>661</v>
      </c>
      <c r="D312" t="s">
        <v>662</v>
      </c>
    </row>
    <row r="313" spans="1:4" x14ac:dyDescent="0.3">
      <c r="A313" t="s">
        <v>522</v>
      </c>
      <c r="B313" t="s">
        <v>523</v>
      </c>
      <c r="C313" t="s">
        <v>663</v>
      </c>
      <c r="D313" t="s">
        <v>664</v>
      </c>
    </row>
    <row r="314" spans="1:4" x14ac:dyDescent="0.3">
      <c r="A314" t="s">
        <v>522</v>
      </c>
      <c r="B314" t="s">
        <v>523</v>
      </c>
      <c r="C314" t="s">
        <v>665</v>
      </c>
      <c r="D314" t="s">
        <v>666</v>
      </c>
    </row>
    <row r="315" spans="1:4" x14ac:dyDescent="0.3">
      <c r="A315" t="s">
        <v>522</v>
      </c>
      <c r="B315" t="s">
        <v>523</v>
      </c>
      <c r="C315" t="s">
        <v>667</v>
      </c>
      <c r="D315" t="s">
        <v>668</v>
      </c>
    </row>
    <row r="316" spans="1:4" x14ac:dyDescent="0.3">
      <c r="A316" t="s">
        <v>522</v>
      </c>
      <c r="B316" t="s">
        <v>523</v>
      </c>
      <c r="C316" t="s">
        <v>669</v>
      </c>
      <c r="D316" t="s">
        <v>670</v>
      </c>
    </row>
    <row r="317" spans="1:4" x14ac:dyDescent="0.3">
      <c r="A317" t="s">
        <v>522</v>
      </c>
      <c r="B317" t="s">
        <v>523</v>
      </c>
      <c r="C317" t="s">
        <v>671</v>
      </c>
      <c r="D317" t="s">
        <v>672</v>
      </c>
    </row>
    <row r="318" spans="1:4" x14ac:dyDescent="0.3">
      <c r="A318" t="s">
        <v>522</v>
      </c>
      <c r="B318" t="s">
        <v>523</v>
      </c>
      <c r="C318" t="s">
        <v>673</v>
      </c>
      <c r="D318" t="s">
        <v>674</v>
      </c>
    </row>
    <row r="319" spans="1:4" x14ac:dyDescent="0.3">
      <c r="A319" t="s">
        <v>522</v>
      </c>
      <c r="B319" t="s">
        <v>523</v>
      </c>
      <c r="C319" t="s">
        <v>675</v>
      </c>
      <c r="D319" t="s">
        <v>676</v>
      </c>
    </row>
    <row r="320" spans="1:4" x14ac:dyDescent="0.3">
      <c r="A320" t="s">
        <v>522</v>
      </c>
      <c r="B320" t="s">
        <v>523</v>
      </c>
      <c r="C320" t="s">
        <v>677</v>
      </c>
      <c r="D320" t="s">
        <v>678</v>
      </c>
    </row>
    <row r="321" spans="1:4" x14ac:dyDescent="0.3">
      <c r="A321" t="s">
        <v>522</v>
      </c>
      <c r="B321" t="s">
        <v>523</v>
      </c>
      <c r="C321" t="s">
        <v>679</v>
      </c>
      <c r="D321" t="s">
        <v>680</v>
      </c>
    </row>
    <row r="322" spans="1:4" x14ac:dyDescent="0.3">
      <c r="A322" t="s">
        <v>522</v>
      </c>
      <c r="B322" t="s">
        <v>523</v>
      </c>
      <c r="C322" t="s">
        <v>681</v>
      </c>
      <c r="D322" t="s">
        <v>682</v>
      </c>
    </row>
    <row r="323" spans="1:4" x14ac:dyDescent="0.3">
      <c r="A323" t="s">
        <v>522</v>
      </c>
      <c r="B323" t="s">
        <v>523</v>
      </c>
      <c r="C323" t="s">
        <v>683</v>
      </c>
      <c r="D323" t="s">
        <v>684</v>
      </c>
    </row>
    <row r="324" spans="1:4" x14ac:dyDescent="0.3">
      <c r="A324" t="s">
        <v>522</v>
      </c>
      <c r="B324" t="s">
        <v>523</v>
      </c>
      <c r="C324" t="s">
        <v>685</v>
      </c>
      <c r="D324" t="s">
        <v>686</v>
      </c>
    </row>
    <row r="325" spans="1:4" x14ac:dyDescent="0.3">
      <c r="A325" t="s">
        <v>522</v>
      </c>
      <c r="B325" t="s">
        <v>523</v>
      </c>
      <c r="C325" t="s">
        <v>687</v>
      </c>
      <c r="D325" t="s">
        <v>688</v>
      </c>
    </row>
    <row r="326" spans="1:4" x14ac:dyDescent="0.3">
      <c r="A326" t="s">
        <v>522</v>
      </c>
      <c r="B326" t="s">
        <v>523</v>
      </c>
      <c r="C326" t="s">
        <v>689</v>
      </c>
      <c r="D326" t="s">
        <v>690</v>
      </c>
    </row>
    <row r="327" spans="1:4" x14ac:dyDescent="0.3">
      <c r="A327" t="s">
        <v>522</v>
      </c>
      <c r="B327" t="s">
        <v>523</v>
      </c>
      <c r="C327" t="s">
        <v>691</v>
      </c>
      <c r="D327" t="s">
        <v>692</v>
      </c>
    </row>
    <row r="328" spans="1:4" x14ac:dyDescent="0.3">
      <c r="A328" t="s">
        <v>522</v>
      </c>
      <c r="B328" t="s">
        <v>523</v>
      </c>
      <c r="C328" t="s">
        <v>693</v>
      </c>
      <c r="D328" t="s">
        <v>694</v>
      </c>
    </row>
    <row r="329" spans="1:4" x14ac:dyDescent="0.3">
      <c r="A329" t="s">
        <v>522</v>
      </c>
      <c r="B329" t="s">
        <v>523</v>
      </c>
      <c r="C329" t="s">
        <v>695</v>
      </c>
      <c r="D329" t="s">
        <v>696</v>
      </c>
    </row>
    <row r="330" spans="1:4" x14ac:dyDescent="0.3">
      <c r="A330" t="s">
        <v>522</v>
      </c>
      <c r="B330" t="s">
        <v>523</v>
      </c>
      <c r="C330" t="s">
        <v>697</v>
      </c>
      <c r="D330" t="s">
        <v>698</v>
      </c>
    </row>
    <row r="331" spans="1:4" x14ac:dyDescent="0.3">
      <c r="A331" t="s">
        <v>522</v>
      </c>
      <c r="B331" t="s">
        <v>523</v>
      </c>
      <c r="C331" t="s">
        <v>699</v>
      </c>
      <c r="D331" t="s">
        <v>700</v>
      </c>
    </row>
    <row r="332" spans="1:4" x14ac:dyDescent="0.3">
      <c r="A332" t="s">
        <v>522</v>
      </c>
      <c r="B332" t="s">
        <v>523</v>
      </c>
      <c r="C332" t="s">
        <v>701</v>
      </c>
      <c r="D332" t="s">
        <v>702</v>
      </c>
    </row>
    <row r="333" spans="1:4" x14ac:dyDescent="0.3">
      <c r="A333" t="s">
        <v>522</v>
      </c>
      <c r="B333" t="s">
        <v>523</v>
      </c>
      <c r="C333" t="s">
        <v>703</v>
      </c>
      <c r="D333" t="s">
        <v>704</v>
      </c>
    </row>
    <row r="334" spans="1:4" x14ac:dyDescent="0.3">
      <c r="A334" t="s">
        <v>522</v>
      </c>
      <c r="B334" t="s">
        <v>523</v>
      </c>
      <c r="C334" t="s">
        <v>705</v>
      </c>
      <c r="D334" t="s">
        <v>706</v>
      </c>
    </row>
    <row r="335" spans="1:4" x14ac:dyDescent="0.3">
      <c r="A335" t="s">
        <v>522</v>
      </c>
      <c r="B335" t="s">
        <v>523</v>
      </c>
      <c r="C335" t="s">
        <v>707</v>
      </c>
      <c r="D335" t="s">
        <v>708</v>
      </c>
    </row>
    <row r="336" spans="1:4" x14ac:dyDescent="0.3">
      <c r="A336" t="s">
        <v>522</v>
      </c>
      <c r="B336" t="s">
        <v>523</v>
      </c>
      <c r="C336" t="s">
        <v>709</v>
      </c>
      <c r="D336" t="s">
        <v>710</v>
      </c>
    </row>
    <row r="337" spans="1:4" x14ac:dyDescent="0.3">
      <c r="A337" t="s">
        <v>522</v>
      </c>
      <c r="B337" t="s">
        <v>523</v>
      </c>
      <c r="C337" t="s">
        <v>711</v>
      </c>
      <c r="D337" t="s">
        <v>712</v>
      </c>
    </row>
    <row r="338" spans="1:4" x14ac:dyDescent="0.3">
      <c r="A338" t="s">
        <v>522</v>
      </c>
      <c r="B338" t="s">
        <v>523</v>
      </c>
      <c r="C338" t="s">
        <v>713</v>
      </c>
      <c r="D338" t="s">
        <v>714</v>
      </c>
    </row>
    <row r="339" spans="1:4" x14ac:dyDescent="0.3">
      <c r="A339" t="s">
        <v>522</v>
      </c>
      <c r="B339" t="s">
        <v>523</v>
      </c>
      <c r="C339" t="s">
        <v>715</v>
      </c>
      <c r="D339" t="s">
        <v>716</v>
      </c>
    </row>
    <row r="340" spans="1:4" x14ac:dyDescent="0.3">
      <c r="A340" t="s">
        <v>522</v>
      </c>
      <c r="B340" t="s">
        <v>523</v>
      </c>
      <c r="C340" t="s">
        <v>717</v>
      </c>
      <c r="D340" t="s">
        <v>718</v>
      </c>
    </row>
    <row r="341" spans="1:4" x14ac:dyDescent="0.3">
      <c r="A341" t="s">
        <v>522</v>
      </c>
      <c r="B341" t="s">
        <v>523</v>
      </c>
      <c r="C341" t="s">
        <v>719</v>
      </c>
      <c r="D341" t="s">
        <v>720</v>
      </c>
    </row>
    <row r="342" spans="1:4" x14ac:dyDescent="0.3">
      <c r="A342" t="s">
        <v>522</v>
      </c>
      <c r="B342" t="s">
        <v>523</v>
      </c>
      <c r="C342" t="s">
        <v>721</v>
      </c>
      <c r="D342" t="s">
        <v>722</v>
      </c>
    </row>
    <row r="343" spans="1:4" x14ac:dyDescent="0.3">
      <c r="A343" t="s">
        <v>522</v>
      </c>
      <c r="B343" t="s">
        <v>523</v>
      </c>
      <c r="C343" t="s">
        <v>723</v>
      </c>
      <c r="D343" t="s">
        <v>724</v>
      </c>
    </row>
    <row r="344" spans="1:4" x14ac:dyDescent="0.3">
      <c r="A344" t="s">
        <v>522</v>
      </c>
      <c r="B344" t="s">
        <v>523</v>
      </c>
      <c r="C344" t="s">
        <v>4260</v>
      </c>
      <c r="D344" t="s">
        <v>4261</v>
      </c>
    </row>
    <row r="345" spans="1:4" x14ac:dyDescent="0.3">
      <c r="A345" t="s">
        <v>522</v>
      </c>
      <c r="B345" t="s">
        <v>523</v>
      </c>
      <c r="C345" t="s">
        <v>725</v>
      </c>
      <c r="D345" t="s">
        <v>726</v>
      </c>
    </row>
    <row r="346" spans="1:4" x14ac:dyDescent="0.3">
      <c r="A346" t="s">
        <v>522</v>
      </c>
      <c r="B346" t="s">
        <v>523</v>
      </c>
      <c r="C346" t="s">
        <v>727</v>
      </c>
      <c r="D346" t="s">
        <v>728</v>
      </c>
    </row>
    <row r="347" spans="1:4" x14ac:dyDescent="0.3">
      <c r="A347" t="s">
        <v>522</v>
      </c>
      <c r="B347" t="s">
        <v>523</v>
      </c>
      <c r="C347" t="s">
        <v>729</v>
      </c>
      <c r="D347" t="s">
        <v>730</v>
      </c>
    </row>
    <row r="348" spans="1:4" x14ac:dyDescent="0.3">
      <c r="A348" t="s">
        <v>522</v>
      </c>
      <c r="B348" t="s">
        <v>523</v>
      </c>
      <c r="C348" t="s">
        <v>731</v>
      </c>
      <c r="D348" t="s">
        <v>732</v>
      </c>
    </row>
    <row r="349" spans="1:4" x14ac:dyDescent="0.3">
      <c r="A349" t="s">
        <v>522</v>
      </c>
      <c r="B349" t="s">
        <v>523</v>
      </c>
      <c r="C349" t="s">
        <v>733</v>
      </c>
      <c r="D349" t="s">
        <v>734</v>
      </c>
    </row>
    <row r="350" spans="1:4" x14ac:dyDescent="0.3">
      <c r="A350" t="s">
        <v>522</v>
      </c>
      <c r="B350" t="s">
        <v>523</v>
      </c>
      <c r="C350" t="s">
        <v>735</v>
      </c>
      <c r="D350" t="s">
        <v>736</v>
      </c>
    </row>
    <row r="351" spans="1:4" x14ac:dyDescent="0.3">
      <c r="A351" t="s">
        <v>522</v>
      </c>
      <c r="B351" t="s">
        <v>523</v>
      </c>
      <c r="C351" t="s">
        <v>737</v>
      </c>
      <c r="D351" t="s">
        <v>738</v>
      </c>
    </row>
    <row r="352" spans="1:4" x14ac:dyDescent="0.3">
      <c r="A352" t="s">
        <v>522</v>
      </c>
      <c r="B352" t="s">
        <v>523</v>
      </c>
      <c r="C352" t="s">
        <v>739</v>
      </c>
      <c r="D352" t="s">
        <v>740</v>
      </c>
    </row>
    <row r="353" spans="1:4" x14ac:dyDescent="0.3">
      <c r="A353" t="s">
        <v>522</v>
      </c>
      <c r="B353" t="s">
        <v>523</v>
      </c>
      <c r="C353" t="s">
        <v>741</v>
      </c>
      <c r="D353" t="s">
        <v>742</v>
      </c>
    </row>
    <row r="354" spans="1:4" x14ac:dyDescent="0.3">
      <c r="A354" t="s">
        <v>522</v>
      </c>
      <c r="B354" t="s">
        <v>523</v>
      </c>
      <c r="C354" t="s">
        <v>743</v>
      </c>
      <c r="D354" t="s">
        <v>744</v>
      </c>
    </row>
    <row r="355" spans="1:4" x14ac:dyDescent="0.3">
      <c r="A355" t="s">
        <v>522</v>
      </c>
      <c r="B355" t="s">
        <v>523</v>
      </c>
      <c r="C355" t="s">
        <v>745</v>
      </c>
      <c r="D355" t="s">
        <v>746</v>
      </c>
    </row>
    <row r="356" spans="1:4" x14ac:dyDescent="0.3">
      <c r="A356" t="s">
        <v>522</v>
      </c>
      <c r="B356" t="s">
        <v>523</v>
      </c>
      <c r="C356" t="s">
        <v>747</v>
      </c>
      <c r="D356" t="s">
        <v>748</v>
      </c>
    </row>
    <row r="357" spans="1:4" x14ac:dyDescent="0.3">
      <c r="A357" t="s">
        <v>522</v>
      </c>
      <c r="B357" t="s">
        <v>523</v>
      </c>
      <c r="C357" t="s">
        <v>749</v>
      </c>
      <c r="D357" t="s">
        <v>750</v>
      </c>
    </row>
    <row r="358" spans="1:4" x14ac:dyDescent="0.3">
      <c r="A358" t="s">
        <v>522</v>
      </c>
      <c r="B358" t="s">
        <v>523</v>
      </c>
      <c r="C358" t="s">
        <v>751</v>
      </c>
      <c r="D358" t="s">
        <v>752</v>
      </c>
    </row>
    <row r="359" spans="1:4" x14ac:dyDescent="0.3">
      <c r="A359" t="s">
        <v>522</v>
      </c>
      <c r="B359" t="s">
        <v>523</v>
      </c>
      <c r="C359" t="s">
        <v>753</v>
      </c>
      <c r="D359" t="s">
        <v>754</v>
      </c>
    </row>
    <row r="360" spans="1:4" x14ac:dyDescent="0.3">
      <c r="A360" t="s">
        <v>522</v>
      </c>
      <c r="B360" t="s">
        <v>523</v>
      </c>
      <c r="C360" t="s">
        <v>755</v>
      </c>
      <c r="D360" t="s">
        <v>756</v>
      </c>
    </row>
    <row r="361" spans="1:4" x14ac:dyDescent="0.3">
      <c r="A361" t="s">
        <v>522</v>
      </c>
      <c r="B361" t="s">
        <v>523</v>
      </c>
      <c r="C361" t="s">
        <v>757</v>
      </c>
      <c r="D361" t="s">
        <v>758</v>
      </c>
    </row>
    <row r="362" spans="1:4" x14ac:dyDescent="0.3">
      <c r="A362" t="s">
        <v>522</v>
      </c>
      <c r="B362" t="s">
        <v>523</v>
      </c>
      <c r="C362" t="s">
        <v>759</v>
      </c>
      <c r="D362" t="s">
        <v>760</v>
      </c>
    </row>
    <row r="363" spans="1:4" x14ac:dyDescent="0.3">
      <c r="A363" t="s">
        <v>522</v>
      </c>
      <c r="B363" t="s">
        <v>523</v>
      </c>
      <c r="C363" t="s">
        <v>761</v>
      </c>
      <c r="D363" t="s">
        <v>762</v>
      </c>
    </row>
    <row r="364" spans="1:4" x14ac:dyDescent="0.3">
      <c r="A364" t="s">
        <v>522</v>
      </c>
      <c r="B364" t="s">
        <v>523</v>
      </c>
      <c r="C364" t="s">
        <v>763</v>
      </c>
      <c r="D364" t="s">
        <v>764</v>
      </c>
    </row>
    <row r="365" spans="1:4" x14ac:dyDescent="0.3">
      <c r="A365" t="s">
        <v>522</v>
      </c>
      <c r="B365" t="s">
        <v>523</v>
      </c>
      <c r="C365" t="s">
        <v>765</v>
      </c>
      <c r="D365" t="s">
        <v>766</v>
      </c>
    </row>
    <row r="366" spans="1:4" x14ac:dyDescent="0.3">
      <c r="A366" t="s">
        <v>522</v>
      </c>
      <c r="B366" t="s">
        <v>523</v>
      </c>
      <c r="C366" t="s">
        <v>767</v>
      </c>
      <c r="D366" t="s">
        <v>768</v>
      </c>
    </row>
    <row r="367" spans="1:4" x14ac:dyDescent="0.3">
      <c r="A367" t="s">
        <v>522</v>
      </c>
      <c r="B367" t="s">
        <v>523</v>
      </c>
      <c r="C367" t="s">
        <v>769</v>
      </c>
      <c r="D367" t="s">
        <v>770</v>
      </c>
    </row>
    <row r="368" spans="1:4" x14ac:dyDescent="0.3">
      <c r="A368" t="s">
        <v>522</v>
      </c>
      <c r="B368" t="s">
        <v>523</v>
      </c>
      <c r="C368" t="s">
        <v>771</v>
      </c>
      <c r="D368" t="s">
        <v>772</v>
      </c>
    </row>
    <row r="369" spans="1:4" x14ac:dyDescent="0.3">
      <c r="A369" t="s">
        <v>522</v>
      </c>
      <c r="B369" t="s">
        <v>523</v>
      </c>
      <c r="C369" t="s">
        <v>773</v>
      </c>
      <c r="D369" t="s">
        <v>774</v>
      </c>
    </row>
    <row r="370" spans="1:4" x14ac:dyDescent="0.3">
      <c r="A370" t="s">
        <v>522</v>
      </c>
      <c r="B370" t="s">
        <v>523</v>
      </c>
      <c r="C370" t="s">
        <v>775</v>
      </c>
      <c r="D370" t="s">
        <v>776</v>
      </c>
    </row>
    <row r="371" spans="1:4" x14ac:dyDescent="0.3">
      <c r="A371" t="s">
        <v>522</v>
      </c>
      <c r="B371" t="s">
        <v>523</v>
      </c>
      <c r="C371" t="s">
        <v>777</v>
      </c>
      <c r="D371" t="s">
        <v>778</v>
      </c>
    </row>
    <row r="372" spans="1:4" x14ac:dyDescent="0.3">
      <c r="A372" t="s">
        <v>522</v>
      </c>
      <c r="B372" t="s">
        <v>523</v>
      </c>
      <c r="C372" t="s">
        <v>779</v>
      </c>
      <c r="D372" t="s">
        <v>780</v>
      </c>
    </row>
    <row r="373" spans="1:4" x14ac:dyDescent="0.3">
      <c r="A373" t="s">
        <v>522</v>
      </c>
      <c r="B373" t="s">
        <v>523</v>
      </c>
      <c r="C373" t="s">
        <v>781</v>
      </c>
      <c r="D373" t="s">
        <v>782</v>
      </c>
    </row>
    <row r="374" spans="1:4" x14ac:dyDescent="0.3">
      <c r="A374" t="s">
        <v>522</v>
      </c>
      <c r="B374" t="s">
        <v>523</v>
      </c>
      <c r="C374" t="s">
        <v>783</v>
      </c>
      <c r="D374" t="s">
        <v>784</v>
      </c>
    </row>
    <row r="375" spans="1:4" x14ac:dyDescent="0.3">
      <c r="A375" t="s">
        <v>522</v>
      </c>
      <c r="B375" t="s">
        <v>523</v>
      </c>
      <c r="C375" t="s">
        <v>785</v>
      </c>
      <c r="D375" t="s">
        <v>786</v>
      </c>
    </row>
    <row r="376" spans="1:4" x14ac:dyDescent="0.3">
      <c r="A376" t="s">
        <v>522</v>
      </c>
      <c r="B376" t="s">
        <v>523</v>
      </c>
      <c r="C376" t="s">
        <v>787</v>
      </c>
      <c r="D376" t="s">
        <v>788</v>
      </c>
    </row>
    <row r="377" spans="1:4" x14ac:dyDescent="0.3">
      <c r="A377" t="s">
        <v>522</v>
      </c>
      <c r="B377" t="s">
        <v>523</v>
      </c>
      <c r="C377" t="s">
        <v>789</v>
      </c>
      <c r="D377" t="s">
        <v>790</v>
      </c>
    </row>
    <row r="378" spans="1:4" x14ac:dyDescent="0.3">
      <c r="A378" t="s">
        <v>522</v>
      </c>
      <c r="B378" t="s">
        <v>523</v>
      </c>
      <c r="C378" t="s">
        <v>791</v>
      </c>
      <c r="D378" t="s">
        <v>792</v>
      </c>
    </row>
    <row r="379" spans="1:4" x14ac:dyDescent="0.3">
      <c r="A379" t="s">
        <v>522</v>
      </c>
      <c r="B379" t="s">
        <v>523</v>
      </c>
      <c r="C379" t="s">
        <v>793</v>
      </c>
      <c r="D379" t="s">
        <v>794</v>
      </c>
    </row>
    <row r="380" spans="1:4" x14ac:dyDescent="0.3">
      <c r="A380" t="s">
        <v>522</v>
      </c>
      <c r="B380" t="s">
        <v>523</v>
      </c>
      <c r="C380" t="s">
        <v>795</v>
      </c>
      <c r="D380" t="s">
        <v>796</v>
      </c>
    </row>
    <row r="381" spans="1:4" x14ac:dyDescent="0.3">
      <c r="A381" t="s">
        <v>522</v>
      </c>
      <c r="B381" t="s">
        <v>523</v>
      </c>
      <c r="C381" t="s">
        <v>797</v>
      </c>
      <c r="D381" t="s">
        <v>798</v>
      </c>
    </row>
    <row r="382" spans="1:4" x14ac:dyDescent="0.3">
      <c r="A382" t="s">
        <v>522</v>
      </c>
      <c r="B382" t="s">
        <v>523</v>
      </c>
      <c r="C382" t="s">
        <v>799</v>
      </c>
      <c r="D382" t="s">
        <v>800</v>
      </c>
    </row>
    <row r="383" spans="1:4" x14ac:dyDescent="0.3">
      <c r="A383" t="s">
        <v>522</v>
      </c>
      <c r="B383" t="s">
        <v>523</v>
      </c>
      <c r="C383" t="s">
        <v>801</v>
      </c>
      <c r="D383" t="s">
        <v>802</v>
      </c>
    </row>
    <row r="384" spans="1:4" x14ac:dyDescent="0.3">
      <c r="A384" t="s">
        <v>522</v>
      </c>
      <c r="B384" t="s">
        <v>523</v>
      </c>
      <c r="C384" t="s">
        <v>803</v>
      </c>
      <c r="D384" t="s">
        <v>804</v>
      </c>
    </row>
    <row r="385" spans="1:4" x14ac:dyDescent="0.3">
      <c r="A385" t="s">
        <v>522</v>
      </c>
      <c r="B385" t="s">
        <v>523</v>
      </c>
      <c r="C385" t="s">
        <v>805</v>
      </c>
      <c r="D385" t="s">
        <v>806</v>
      </c>
    </row>
    <row r="386" spans="1:4" x14ac:dyDescent="0.3">
      <c r="A386" t="s">
        <v>522</v>
      </c>
      <c r="B386" t="s">
        <v>523</v>
      </c>
      <c r="C386" t="s">
        <v>807</v>
      </c>
      <c r="D386" t="s">
        <v>808</v>
      </c>
    </row>
    <row r="387" spans="1:4" x14ac:dyDescent="0.3">
      <c r="A387" t="s">
        <v>522</v>
      </c>
      <c r="B387" t="s">
        <v>523</v>
      </c>
      <c r="C387" t="s">
        <v>809</v>
      </c>
      <c r="D387" t="s">
        <v>810</v>
      </c>
    </row>
    <row r="388" spans="1:4" x14ac:dyDescent="0.3">
      <c r="A388" t="s">
        <v>522</v>
      </c>
      <c r="B388" t="s">
        <v>523</v>
      </c>
      <c r="C388" t="s">
        <v>811</v>
      </c>
      <c r="D388" t="s">
        <v>812</v>
      </c>
    </row>
    <row r="389" spans="1:4" x14ac:dyDescent="0.3">
      <c r="A389" t="s">
        <v>522</v>
      </c>
      <c r="B389" t="s">
        <v>523</v>
      </c>
      <c r="C389" t="s">
        <v>813</v>
      </c>
      <c r="D389" t="s">
        <v>814</v>
      </c>
    </row>
    <row r="390" spans="1:4" x14ac:dyDescent="0.3">
      <c r="A390" t="s">
        <v>522</v>
      </c>
      <c r="B390" t="s">
        <v>523</v>
      </c>
      <c r="C390" t="s">
        <v>815</v>
      </c>
      <c r="D390" t="s">
        <v>816</v>
      </c>
    </row>
    <row r="391" spans="1:4" x14ac:dyDescent="0.3">
      <c r="A391" t="s">
        <v>522</v>
      </c>
      <c r="B391" t="s">
        <v>523</v>
      </c>
      <c r="C391" t="s">
        <v>817</v>
      </c>
      <c r="D391" t="s">
        <v>818</v>
      </c>
    </row>
    <row r="392" spans="1:4" x14ac:dyDescent="0.3">
      <c r="A392" t="s">
        <v>522</v>
      </c>
      <c r="B392" t="s">
        <v>523</v>
      </c>
      <c r="C392" t="s">
        <v>819</v>
      </c>
      <c r="D392" t="s">
        <v>820</v>
      </c>
    </row>
    <row r="393" spans="1:4" x14ac:dyDescent="0.3">
      <c r="A393" t="s">
        <v>522</v>
      </c>
      <c r="B393" t="s">
        <v>523</v>
      </c>
      <c r="C393" t="s">
        <v>821</v>
      </c>
      <c r="D393" t="s">
        <v>822</v>
      </c>
    </row>
    <row r="394" spans="1:4" x14ac:dyDescent="0.3">
      <c r="A394" t="s">
        <v>522</v>
      </c>
      <c r="B394" t="s">
        <v>523</v>
      </c>
      <c r="C394" t="s">
        <v>823</v>
      </c>
      <c r="D394" t="s">
        <v>824</v>
      </c>
    </row>
    <row r="395" spans="1:4" x14ac:dyDescent="0.3">
      <c r="A395" t="s">
        <v>522</v>
      </c>
      <c r="B395" t="s">
        <v>523</v>
      </c>
      <c r="C395" t="s">
        <v>825</v>
      </c>
      <c r="D395" t="s">
        <v>826</v>
      </c>
    </row>
    <row r="396" spans="1:4" x14ac:dyDescent="0.3">
      <c r="A396" t="s">
        <v>522</v>
      </c>
      <c r="B396" t="s">
        <v>523</v>
      </c>
      <c r="C396" t="s">
        <v>827</v>
      </c>
      <c r="D396" t="s">
        <v>828</v>
      </c>
    </row>
    <row r="397" spans="1:4" x14ac:dyDescent="0.3">
      <c r="A397" t="s">
        <v>522</v>
      </c>
      <c r="B397" t="s">
        <v>523</v>
      </c>
      <c r="C397" t="s">
        <v>829</v>
      </c>
      <c r="D397" t="s">
        <v>830</v>
      </c>
    </row>
    <row r="398" spans="1:4" x14ac:dyDescent="0.3">
      <c r="A398" t="s">
        <v>522</v>
      </c>
      <c r="B398" t="s">
        <v>523</v>
      </c>
      <c r="C398" t="s">
        <v>831</v>
      </c>
      <c r="D398" t="s">
        <v>832</v>
      </c>
    </row>
    <row r="399" spans="1:4" x14ac:dyDescent="0.3">
      <c r="A399" t="s">
        <v>522</v>
      </c>
      <c r="B399" t="s">
        <v>523</v>
      </c>
      <c r="C399" t="s">
        <v>833</v>
      </c>
      <c r="D399" t="s">
        <v>834</v>
      </c>
    </row>
    <row r="400" spans="1:4" x14ac:dyDescent="0.3">
      <c r="A400" t="s">
        <v>522</v>
      </c>
      <c r="B400" t="s">
        <v>523</v>
      </c>
      <c r="C400" t="s">
        <v>835</v>
      </c>
      <c r="D400" t="s">
        <v>836</v>
      </c>
    </row>
    <row r="401" spans="1:4" x14ac:dyDescent="0.3">
      <c r="A401" t="s">
        <v>522</v>
      </c>
      <c r="B401" t="s">
        <v>523</v>
      </c>
      <c r="C401" t="s">
        <v>837</v>
      </c>
      <c r="D401" t="s">
        <v>838</v>
      </c>
    </row>
    <row r="402" spans="1:4" x14ac:dyDescent="0.3">
      <c r="A402" t="s">
        <v>522</v>
      </c>
      <c r="B402" t="s">
        <v>523</v>
      </c>
      <c r="C402" t="s">
        <v>839</v>
      </c>
      <c r="D402" t="s">
        <v>840</v>
      </c>
    </row>
    <row r="403" spans="1:4" x14ac:dyDescent="0.3">
      <c r="A403" t="s">
        <v>522</v>
      </c>
      <c r="B403" t="s">
        <v>523</v>
      </c>
      <c r="C403" t="s">
        <v>841</v>
      </c>
      <c r="D403" t="s">
        <v>842</v>
      </c>
    </row>
    <row r="404" spans="1:4" x14ac:dyDescent="0.3">
      <c r="A404" t="s">
        <v>522</v>
      </c>
      <c r="B404" t="s">
        <v>523</v>
      </c>
      <c r="C404" t="s">
        <v>843</v>
      </c>
      <c r="D404" t="s">
        <v>844</v>
      </c>
    </row>
    <row r="405" spans="1:4" x14ac:dyDescent="0.3">
      <c r="A405" t="s">
        <v>522</v>
      </c>
      <c r="B405" t="s">
        <v>523</v>
      </c>
      <c r="C405" t="s">
        <v>845</v>
      </c>
      <c r="D405" t="s">
        <v>846</v>
      </c>
    </row>
    <row r="406" spans="1:4" x14ac:dyDescent="0.3">
      <c r="A406" t="s">
        <v>522</v>
      </c>
      <c r="B406" t="s">
        <v>523</v>
      </c>
      <c r="C406" t="s">
        <v>847</v>
      </c>
      <c r="D406" t="s">
        <v>848</v>
      </c>
    </row>
    <row r="407" spans="1:4" x14ac:dyDescent="0.3">
      <c r="A407" t="s">
        <v>522</v>
      </c>
      <c r="B407" t="s">
        <v>523</v>
      </c>
      <c r="C407" t="s">
        <v>849</v>
      </c>
      <c r="D407" t="s">
        <v>850</v>
      </c>
    </row>
    <row r="408" spans="1:4" x14ac:dyDescent="0.3">
      <c r="A408" t="s">
        <v>522</v>
      </c>
      <c r="B408" t="s">
        <v>523</v>
      </c>
      <c r="C408" t="s">
        <v>851</v>
      </c>
      <c r="D408" t="s">
        <v>852</v>
      </c>
    </row>
    <row r="409" spans="1:4" x14ac:dyDescent="0.3">
      <c r="A409" t="s">
        <v>522</v>
      </c>
      <c r="B409" t="s">
        <v>523</v>
      </c>
      <c r="C409" t="s">
        <v>853</v>
      </c>
      <c r="D409" t="s">
        <v>854</v>
      </c>
    </row>
    <row r="410" spans="1:4" x14ac:dyDescent="0.3">
      <c r="A410" t="s">
        <v>522</v>
      </c>
      <c r="B410" t="s">
        <v>523</v>
      </c>
      <c r="C410" t="s">
        <v>855</v>
      </c>
      <c r="D410" t="s">
        <v>856</v>
      </c>
    </row>
    <row r="411" spans="1:4" x14ac:dyDescent="0.3">
      <c r="A411" t="s">
        <v>522</v>
      </c>
      <c r="B411" t="s">
        <v>523</v>
      </c>
      <c r="C411" t="s">
        <v>857</v>
      </c>
      <c r="D411" t="s">
        <v>858</v>
      </c>
    </row>
    <row r="412" spans="1:4" x14ac:dyDescent="0.3">
      <c r="A412" t="s">
        <v>522</v>
      </c>
      <c r="B412" t="s">
        <v>523</v>
      </c>
      <c r="C412" t="s">
        <v>859</v>
      </c>
      <c r="D412" t="s">
        <v>860</v>
      </c>
    </row>
    <row r="413" spans="1:4" x14ac:dyDescent="0.3">
      <c r="A413" t="s">
        <v>522</v>
      </c>
      <c r="B413" t="s">
        <v>523</v>
      </c>
      <c r="C413" t="s">
        <v>862</v>
      </c>
      <c r="D413" t="s">
        <v>863</v>
      </c>
    </row>
    <row r="414" spans="1:4" x14ac:dyDescent="0.3">
      <c r="A414" t="s">
        <v>522</v>
      </c>
      <c r="B414" t="s">
        <v>523</v>
      </c>
      <c r="C414" t="s">
        <v>861</v>
      </c>
      <c r="D414" t="s">
        <v>4129</v>
      </c>
    </row>
    <row r="415" spans="1:4" x14ac:dyDescent="0.3">
      <c r="A415" t="s">
        <v>522</v>
      </c>
      <c r="B415" t="s">
        <v>523</v>
      </c>
      <c r="C415" t="s">
        <v>864</v>
      </c>
      <c r="D415" t="s">
        <v>865</v>
      </c>
    </row>
    <row r="416" spans="1:4" x14ac:dyDescent="0.3">
      <c r="A416" t="s">
        <v>522</v>
      </c>
      <c r="B416" t="s">
        <v>523</v>
      </c>
      <c r="C416" t="s">
        <v>866</v>
      </c>
      <c r="D416" t="s">
        <v>867</v>
      </c>
    </row>
    <row r="417" spans="1:4" x14ac:dyDescent="0.3">
      <c r="A417" t="s">
        <v>522</v>
      </c>
      <c r="B417" t="s">
        <v>523</v>
      </c>
      <c r="C417" t="s">
        <v>868</v>
      </c>
      <c r="D417" t="s">
        <v>869</v>
      </c>
    </row>
    <row r="418" spans="1:4" x14ac:dyDescent="0.3">
      <c r="A418" t="s">
        <v>522</v>
      </c>
      <c r="B418" t="s">
        <v>523</v>
      </c>
      <c r="C418" t="s">
        <v>870</v>
      </c>
      <c r="D418" t="s">
        <v>871</v>
      </c>
    </row>
    <row r="419" spans="1:4" x14ac:dyDescent="0.3">
      <c r="A419" t="s">
        <v>522</v>
      </c>
      <c r="B419" t="s">
        <v>523</v>
      </c>
      <c r="C419" t="s">
        <v>872</v>
      </c>
      <c r="D419" t="s">
        <v>873</v>
      </c>
    </row>
    <row r="420" spans="1:4" x14ac:dyDescent="0.3">
      <c r="A420" t="s">
        <v>522</v>
      </c>
      <c r="B420" t="s">
        <v>523</v>
      </c>
      <c r="C420" t="s">
        <v>874</v>
      </c>
      <c r="D420" t="s">
        <v>875</v>
      </c>
    </row>
    <row r="421" spans="1:4" x14ac:dyDescent="0.3">
      <c r="A421" t="s">
        <v>522</v>
      </c>
      <c r="B421" t="s">
        <v>523</v>
      </c>
      <c r="C421" t="s">
        <v>876</v>
      </c>
      <c r="D421" t="s">
        <v>877</v>
      </c>
    </row>
    <row r="422" spans="1:4" x14ac:dyDescent="0.3">
      <c r="A422" t="s">
        <v>522</v>
      </c>
      <c r="B422" t="s">
        <v>523</v>
      </c>
      <c r="C422" t="s">
        <v>878</v>
      </c>
      <c r="D422" t="s">
        <v>879</v>
      </c>
    </row>
    <row r="423" spans="1:4" x14ac:dyDescent="0.3">
      <c r="A423" t="s">
        <v>522</v>
      </c>
      <c r="B423" t="s">
        <v>523</v>
      </c>
      <c r="C423" t="s">
        <v>880</v>
      </c>
      <c r="D423" t="s">
        <v>881</v>
      </c>
    </row>
    <row r="424" spans="1:4" x14ac:dyDescent="0.3">
      <c r="A424" t="s">
        <v>522</v>
      </c>
      <c r="B424" t="s">
        <v>523</v>
      </c>
      <c r="C424" t="s">
        <v>882</v>
      </c>
      <c r="D424" t="s">
        <v>883</v>
      </c>
    </row>
    <row r="425" spans="1:4" x14ac:dyDescent="0.3">
      <c r="A425" t="s">
        <v>522</v>
      </c>
      <c r="B425" t="s">
        <v>523</v>
      </c>
      <c r="C425" t="s">
        <v>884</v>
      </c>
      <c r="D425" t="s">
        <v>885</v>
      </c>
    </row>
    <row r="426" spans="1:4" x14ac:dyDescent="0.3">
      <c r="A426" t="s">
        <v>522</v>
      </c>
      <c r="B426" t="s">
        <v>523</v>
      </c>
      <c r="C426" t="s">
        <v>886</v>
      </c>
      <c r="D426" t="s">
        <v>887</v>
      </c>
    </row>
    <row r="427" spans="1:4" x14ac:dyDescent="0.3">
      <c r="A427" t="s">
        <v>522</v>
      </c>
      <c r="B427" t="s">
        <v>523</v>
      </c>
      <c r="C427" t="s">
        <v>888</v>
      </c>
      <c r="D427" t="s">
        <v>889</v>
      </c>
    </row>
    <row r="428" spans="1:4" x14ac:dyDescent="0.3">
      <c r="A428" t="s">
        <v>522</v>
      </c>
      <c r="B428" t="s">
        <v>523</v>
      </c>
      <c r="C428" t="s">
        <v>890</v>
      </c>
      <c r="D428" t="s">
        <v>891</v>
      </c>
    </row>
    <row r="429" spans="1:4" x14ac:dyDescent="0.3">
      <c r="A429" t="s">
        <v>522</v>
      </c>
      <c r="B429" t="s">
        <v>523</v>
      </c>
      <c r="C429" t="s">
        <v>892</v>
      </c>
      <c r="D429" t="s">
        <v>893</v>
      </c>
    </row>
    <row r="430" spans="1:4" x14ac:dyDescent="0.3">
      <c r="A430" t="s">
        <v>522</v>
      </c>
      <c r="B430" t="s">
        <v>523</v>
      </c>
      <c r="C430" t="s">
        <v>894</v>
      </c>
      <c r="D430" t="s">
        <v>895</v>
      </c>
    </row>
    <row r="431" spans="1:4" x14ac:dyDescent="0.3">
      <c r="A431" t="s">
        <v>522</v>
      </c>
      <c r="B431" t="s">
        <v>523</v>
      </c>
      <c r="C431" t="s">
        <v>896</v>
      </c>
      <c r="D431" t="s">
        <v>897</v>
      </c>
    </row>
    <row r="432" spans="1:4" x14ac:dyDescent="0.3">
      <c r="A432" t="s">
        <v>522</v>
      </c>
      <c r="B432" t="s">
        <v>523</v>
      </c>
      <c r="C432" t="s">
        <v>898</v>
      </c>
      <c r="D432" t="s">
        <v>899</v>
      </c>
    </row>
    <row r="433" spans="1:4" x14ac:dyDescent="0.3">
      <c r="A433" t="s">
        <v>522</v>
      </c>
      <c r="B433" t="s">
        <v>523</v>
      </c>
      <c r="C433" t="s">
        <v>900</v>
      </c>
      <c r="D433" t="s">
        <v>901</v>
      </c>
    </row>
    <row r="434" spans="1:4" x14ac:dyDescent="0.3">
      <c r="A434" t="s">
        <v>522</v>
      </c>
      <c r="B434" t="s">
        <v>523</v>
      </c>
      <c r="C434" t="s">
        <v>902</v>
      </c>
      <c r="D434" t="s">
        <v>903</v>
      </c>
    </row>
    <row r="435" spans="1:4" x14ac:dyDescent="0.3">
      <c r="A435" t="s">
        <v>522</v>
      </c>
      <c r="B435" t="s">
        <v>523</v>
      </c>
      <c r="C435" t="s">
        <v>904</v>
      </c>
      <c r="D435" t="s">
        <v>905</v>
      </c>
    </row>
    <row r="436" spans="1:4" x14ac:dyDescent="0.3">
      <c r="A436" t="s">
        <v>522</v>
      </c>
      <c r="B436" t="s">
        <v>523</v>
      </c>
      <c r="C436" t="s">
        <v>906</v>
      </c>
      <c r="D436" t="s">
        <v>907</v>
      </c>
    </row>
    <row r="437" spans="1:4" x14ac:dyDescent="0.3">
      <c r="A437" t="s">
        <v>522</v>
      </c>
      <c r="B437" t="s">
        <v>523</v>
      </c>
      <c r="C437" t="s">
        <v>908</v>
      </c>
      <c r="D437" t="s">
        <v>909</v>
      </c>
    </row>
    <row r="438" spans="1:4" x14ac:dyDescent="0.3">
      <c r="A438" t="s">
        <v>522</v>
      </c>
      <c r="B438" t="s">
        <v>523</v>
      </c>
      <c r="C438" t="s">
        <v>910</v>
      </c>
      <c r="D438" t="s">
        <v>911</v>
      </c>
    </row>
    <row r="439" spans="1:4" x14ac:dyDescent="0.3">
      <c r="A439" t="s">
        <v>522</v>
      </c>
      <c r="B439" t="s">
        <v>523</v>
      </c>
      <c r="C439" t="s">
        <v>912</v>
      </c>
      <c r="D439" t="s">
        <v>913</v>
      </c>
    </row>
    <row r="440" spans="1:4" x14ac:dyDescent="0.3">
      <c r="A440" t="s">
        <v>522</v>
      </c>
      <c r="B440" t="s">
        <v>523</v>
      </c>
      <c r="C440" t="s">
        <v>914</v>
      </c>
      <c r="D440" t="s">
        <v>915</v>
      </c>
    </row>
    <row r="441" spans="1:4" x14ac:dyDescent="0.3">
      <c r="A441" t="s">
        <v>522</v>
      </c>
      <c r="B441" t="s">
        <v>523</v>
      </c>
      <c r="C441" t="s">
        <v>916</v>
      </c>
      <c r="D441" t="s">
        <v>917</v>
      </c>
    </row>
    <row r="442" spans="1:4" x14ac:dyDescent="0.3">
      <c r="A442" t="s">
        <v>522</v>
      </c>
      <c r="B442" t="s">
        <v>523</v>
      </c>
      <c r="C442" t="s">
        <v>918</v>
      </c>
      <c r="D442" t="s">
        <v>919</v>
      </c>
    </row>
    <row r="443" spans="1:4" x14ac:dyDescent="0.3">
      <c r="A443" t="s">
        <v>522</v>
      </c>
      <c r="B443" t="s">
        <v>523</v>
      </c>
      <c r="C443" t="s">
        <v>920</v>
      </c>
      <c r="D443" t="s">
        <v>921</v>
      </c>
    </row>
    <row r="444" spans="1:4" x14ac:dyDescent="0.3">
      <c r="A444" t="s">
        <v>522</v>
      </c>
      <c r="B444" t="s">
        <v>523</v>
      </c>
      <c r="C444" t="s">
        <v>922</v>
      </c>
      <c r="D444" t="s">
        <v>923</v>
      </c>
    </row>
    <row r="445" spans="1:4" x14ac:dyDescent="0.3">
      <c r="A445" t="s">
        <v>522</v>
      </c>
      <c r="B445" t="s">
        <v>523</v>
      </c>
      <c r="C445" t="s">
        <v>924</v>
      </c>
      <c r="D445" t="s">
        <v>925</v>
      </c>
    </row>
    <row r="446" spans="1:4" x14ac:dyDescent="0.3">
      <c r="A446" t="s">
        <v>522</v>
      </c>
      <c r="B446" t="s">
        <v>523</v>
      </c>
      <c r="C446" t="s">
        <v>926</v>
      </c>
      <c r="D446" t="s">
        <v>927</v>
      </c>
    </row>
    <row r="447" spans="1:4" x14ac:dyDescent="0.3">
      <c r="A447" t="s">
        <v>522</v>
      </c>
      <c r="B447" t="s">
        <v>523</v>
      </c>
      <c r="C447" t="s">
        <v>928</v>
      </c>
      <c r="D447" t="s">
        <v>929</v>
      </c>
    </row>
    <row r="448" spans="1:4" x14ac:dyDescent="0.3">
      <c r="A448" t="s">
        <v>522</v>
      </c>
      <c r="B448" t="s">
        <v>523</v>
      </c>
      <c r="C448" t="s">
        <v>930</v>
      </c>
      <c r="D448" t="s">
        <v>931</v>
      </c>
    </row>
    <row r="449" spans="1:4" x14ac:dyDescent="0.3">
      <c r="A449" t="s">
        <v>522</v>
      </c>
      <c r="B449" t="s">
        <v>523</v>
      </c>
      <c r="C449" t="s">
        <v>932</v>
      </c>
      <c r="D449" t="s">
        <v>933</v>
      </c>
    </row>
    <row r="450" spans="1:4" x14ac:dyDescent="0.3">
      <c r="A450" t="s">
        <v>522</v>
      </c>
      <c r="B450" t="s">
        <v>523</v>
      </c>
      <c r="C450" t="s">
        <v>934</v>
      </c>
      <c r="D450" t="s">
        <v>935</v>
      </c>
    </row>
    <row r="451" spans="1:4" x14ac:dyDescent="0.3">
      <c r="A451" t="s">
        <v>522</v>
      </c>
      <c r="B451" t="s">
        <v>523</v>
      </c>
      <c r="C451" t="s">
        <v>936</v>
      </c>
      <c r="D451" t="s">
        <v>937</v>
      </c>
    </row>
    <row r="452" spans="1:4" x14ac:dyDescent="0.3">
      <c r="A452" t="s">
        <v>522</v>
      </c>
      <c r="B452" t="s">
        <v>523</v>
      </c>
      <c r="C452" t="s">
        <v>938</v>
      </c>
      <c r="D452" t="s">
        <v>939</v>
      </c>
    </row>
    <row r="453" spans="1:4" x14ac:dyDescent="0.3">
      <c r="A453" t="s">
        <v>522</v>
      </c>
      <c r="B453" t="s">
        <v>523</v>
      </c>
      <c r="C453" t="s">
        <v>940</v>
      </c>
      <c r="D453" t="s">
        <v>941</v>
      </c>
    </row>
    <row r="454" spans="1:4" x14ac:dyDescent="0.3">
      <c r="A454" t="s">
        <v>522</v>
      </c>
      <c r="B454" t="s">
        <v>523</v>
      </c>
      <c r="C454" t="s">
        <v>942</v>
      </c>
      <c r="D454" t="s">
        <v>943</v>
      </c>
    </row>
    <row r="455" spans="1:4" x14ac:dyDescent="0.3">
      <c r="A455" t="s">
        <v>522</v>
      </c>
      <c r="B455" t="s">
        <v>523</v>
      </c>
      <c r="C455" t="s">
        <v>944</v>
      </c>
      <c r="D455" t="s">
        <v>945</v>
      </c>
    </row>
    <row r="456" spans="1:4" x14ac:dyDescent="0.3">
      <c r="A456" t="s">
        <v>522</v>
      </c>
      <c r="B456" t="s">
        <v>523</v>
      </c>
      <c r="C456" t="s">
        <v>946</v>
      </c>
      <c r="D456" t="s">
        <v>947</v>
      </c>
    </row>
    <row r="457" spans="1:4" x14ac:dyDescent="0.3">
      <c r="A457" t="s">
        <v>522</v>
      </c>
      <c r="B457" t="s">
        <v>523</v>
      </c>
      <c r="C457" t="s">
        <v>948</v>
      </c>
      <c r="D457" t="s">
        <v>949</v>
      </c>
    </row>
    <row r="458" spans="1:4" x14ac:dyDescent="0.3">
      <c r="A458" t="s">
        <v>522</v>
      </c>
      <c r="B458" t="s">
        <v>523</v>
      </c>
      <c r="C458" t="s">
        <v>950</v>
      </c>
      <c r="D458" t="s">
        <v>951</v>
      </c>
    </row>
    <row r="459" spans="1:4" x14ac:dyDescent="0.3">
      <c r="A459" t="s">
        <v>522</v>
      </c>
      <c r="B459" t="s">
        <v>523</v>
      </c>
      <c r="C459" t="s">
        <v>952</v>
      </c>
      <c r="D459" t="s">
        <v>953</v>
      </c>
    </row>
    <row r="460" spans="1:4" x14ac:dyDescent="0.3">
      <c r="A460" t="s">
        <v>522</v>
      </c>
      <c r="B460" t="s">
        <v>523</v>
      </c>
      <c r="C460" t="s">
        <v>954</v>
      </c>
      <c r="D460" t="s">
        <v>955</v>
      </c>
    </row>
    <row r="461" spans="1:4" x14ac:dyDescent="0.3">
      <c r="A461" t="s">
        <v>522</v>
      </c>
      <c r="B461" t="s">
        <v>523</v>
      </c>
      <c r="C461" t="s">
        <v>956</v>
      </c>
      <c r="D461" t="s">
        <v>957</v>
      </c>
    </row>
    <row r="462" spans="1:4" x14ac:dyDescent="0.3">
      <c r="A462" t="s">
        <v>522</v>
      </c>
      <c r="B462" t="s">
        <v>523</v>
      </c>
      <c r="C462" t="s">
        <v>958</v>
      </c>
      <c r="D462" t="s">
        <v>959</v>
      </c>
    </row>
    <row r="463" spans="1:4" x14ac:dyDescent="0.3">
      <c r="A463" t="s">
        <v>522</v>
      </c>
      <c r="B463" t="s">
        <v>523</v>
      </c>
      <c r="C463" t="s">
        <v>960</v>
      </c>
      <c r="D463" t="s">
        <v>961</v>
      </c>
    </row>
    <row r="464" spans="1:4" x14ac:dyDescent="0.3">
      <c r="A464" t="s">
        <v>522</v>
      </c>
      <c r="B464" t="s">
        <v>523</v>
      </c>
      <c r="C464" t="s">
        <v>962</v>
      </c>
      <c r="D464" t="s">
        <v>963</v>
      </c>
    </row>
    <row r="465" spans="1:4" x14ac:dyDescent="0.3">
      <c r="A465" t="s">
        <v>522</v>
      </c>
      <c r="B465" t="s">
        <v>523</v>
      </c>
      <c r="C465" t="s">
        <v>964</v>
      </c>
      <c r="D465" t="s">
        <v>965</v>
      </c>
    </row>
    <row r="466" spans="1:4" x14ac:dyDescent="0.3">
      <c r="A466" t="s">
        <v>522</v>
      </c>
      <c r="B466" t="s">
        <v>523</v>
      </c>
      <c r="C466" t="s">
        <v>966</v>
      </c>
      <c r="D466" t="s">
        <v>967</v>
      </c>
    </row>
    <row r="467" spans="1:4" x14ac:dyDescent="0.3">
      <c r="A467" t="s">
        <v>522</v>
      </c>
      <c r="B467" t="s">
        <v>523</v>
      </c>
      <c r="C467" t="s">
        <v>968</v>
      </c>
      <c r="D467" t="s">
        <v>969</v>
      </c>
    </row>
    <row r="468" spans="1:4" x14ac:dyDescent="0.3">
      <c r="A468" t="s">
        <v>522</v>
      </c>
      <c r="B468" t="s">
        <v>523</v>
      </c>
      <c r="C468" t="s">
        <v>970</v>
      </c>
      <c r="D468" t="s">
        <v>971</v>
      </c>
    </row>
    <row r="469" spans="1:4" x14ac:dyDescent="0.3">
      <c r="A469" t="s">
        <v>522</v>
      </c>
      <c r="B469" t="s">
        <v>523</v>
      </c>
      <c r="C469" t="s">
        <v>972</v>
      </c>
      <c r="D469" t="s">
        <v>973</v>
      </c>
    </row>
    <row r="470" spans="1:4" x14ac:dyDescent="0.3">
      <c r="A470" t="s">
        <v>522</v>
      </c>
      <c r="B470" t="s">
        <v>523</v>
      </c>
      <c r="C470" t="s">
        <v>974</v>
      </c>
      <c r="D470" t="s">
        <v>975</v>
      </c>
    </row>
    <row r="471" spans="1:4" x14ac:dyDescent="0.3">
      <c r="A471" t="s">
        <v>522</v>
      </c>
      <c r="B471" t="s">
        <v>523</v>
      </c>
      <c r="C471" t="s">
        <v>976</v>
      </c>
      <c r="D471" t="s">
        <v>977</v>
      </c>
    </row>
    <row r="472" spans="1:4" x14ac:dyDescent="0.3">
      <c r="A472" t="s">
        <v>522</v>
      </c>
      <c r="B472" t="s">
        <v>523</v>
      </c>
      <c r="C472" t="s">
        <v>978</v>
      </c>
      <c r="D472" t="s">
        <v>979</v>
      </c>
    </row>
    <row r="473" spans="1:4" x14ac:dyDescent="0.3">
      <c r="A473" t="s">
        <v>522</v>
      </c>
      <c r="B473" t="s">
        <v>523</v>
      </c>
      <c r="C473" t="s">
        <v>980</v>
      </c>
      <c r="D473" t="s">
        <v>981</v>
      </c>
    </row>
    <row r="474" spans="1:4" x14ac:dyDescent="0.3">
      <c r="A474" t="s">
        <v>522</v>
      </c>
      <c r="B474" t="s">
        <v>523</v>
      </c>
      <c r="C474" t="s">
        <v>982</v>
      </c>
      <c r="D474" t="s">
        <v>983</v>
      </c>
    </row>
    <row r="475" spans="1:4" x14ac:dyDescent="0.3">
      <c r="A475" t="s">
        <v>522</v>
      </c>
      <c r="B475" t="s">
        <v>523</v>
      </c>
      <c r="C475" t="s">
        <v>984</v>
      </c>
      <c r="D475" t="s">
        <v>985</v>
      </c>
    </row>
    <row r="476" spans="1:4" x14ac:dyDescent="0.3">
      <c r="A476" t="s">
        <v>522</v>
      </c>
      <c r="B476" t="s">
        <v>523</v>
      </c>
      <c r="C476" t="s">
        <v>986</v>
      </c>
      <c r="D476" t="s">
        <v>987</v>
      </c>
    </row>
    <row r="477" spans="1:4" x14ac:dyDescent="0.3">
      <c r="A477" t="s">
        <v>522</v>
      </c>
      <c r="B477" t="s">
        <v>523</v>
      </c>
      <c r="C477" t="s">
        <v>988</v>
      </c>
      <c r="D477" t="s">
        <v>989</v>
      </c>
    </row>
    <row r="478" spans="1:4" x14ac:dyDescent="0.3">
      <c r="A478" t="s">
        <v>522</v>
      </c>
      <c r="B478" t="s">
        <v>523</v>
      </c>
      <c r="C478" t="s">
        <v>990</v>
      </c>
      <c r="D478" t="s">
        <v>991</v>
      </c>
    </row>
    <row r="479" spans="1:4" x14ac:dyDescent="0.3">
      <c r="A479" t="s">
        <v>522</v>
      </c>
      <c r="B479" t="s">
        <v>523</v>
      </c>
      <c r="C479" t="s">
        <v>992</v>
      </c>
      <c r="D479" t="s">
        <v>993</v>
      </c>
    </row>
    <row r="480" spans="1:4" x14ac:dyDescent="0.3">
      <c r="A480" t="s">
        <v>522</v>
      </c>
      <c r="B480" t="s">
        <v>523</v>
      </c>
      <c r="C480" t="s">
        <v>994</v>
      </c>
      <c r="D480" t="s">
        <v>995</v>
      </c>
    </row>
    <row r="481" spans="1:4" x14ac:dyDescent="0.3">
      <c r="A481" t="s">
        <v>522</v>
      </c>
      <c r="B481" t="s">
        <v>523</v>
      </c>
      <c r="C481" t="s">
        <v>996</v>
      </c>
      <c r="D481" t="s">
        <v>997</v>
      </c>
    </row>
    <row r="482" spans="1:4" x14ac:dyDescent="0.3">
      <c r="A482" t="s">
        <v>522</v>
      </c>
      <c r="B482" t="s">
        <v>523</v>
      </c>
      <c r="C482" t="s">
        <v>998</v>
      </c>
      <c r="D482" t="s">
        <v>999</v>
      </c>
    </row>
    <row r="483" spans="1:4" x14ac:dyDescent="0.3">
      <c r="A483" t="s">
        <v>522</v>
      </c>
      <c r="B483" t="s">
        <v>523</v>
      </c>
      <c r="C483" t="s">
        <v>1000</v>
      </c>
      <c r="D483" t="s">
        <v>1001</v>
      </c>
    </row>
    <row r="484" spans="1:4" x14ac:dyDescent="0.3">
      <c r="A484" t="s">
        <v>522</v>
      </c>
      <c r="B484" t="s">
        <v>523</v>
      </c>
      <c r="C484" t="s">
        <v>1002</v>
      </c>
      <c r="D484" t="s">
        <v>1003</v>
      </c>
    </row>
    <row r="485" spans="1:4" x14ac:dyDescent="0.3">
      <c r="A485" t="s">
        <v>522</v>
      </c>
      <c r="B485" t="s">
        <v>523</v>
      </c>
      <c r="C485" t="s">
        <v>1004</v>
      </c>
      <c r="D485" t="s">
        <v>1005</v>
      </c>
    </row>
    <row r="486" spans="1:4" x14ac:dyDescent="0.3">
      <c r="A486" t="s">
        <v>522</v>
      </c>
      <c r="B486" t="s">
        <v>523</v>
      </c>
      <c r="C486" t="s">
        <v>1006</v>
      </c>
      <c r="D486" t="s">
        <v>1007</v>
      </c>
    </row>
    <row r="487" spans="1:4" x14ac:dyDescent="0.3">
      <c r="A487" t="s">
        <v>522</v>
      </c>
      <c r="B487" t="s">
        <v>523</v>
      </c>
      <c r="C487" t="s">
        <v>1008</v>
      </c>
      <c r="D487" t="s">
        <v>1009</v>
      </c>
    </row>
    <row r="488" spans="1:4" x14ac:dyDescent="0.3">
      <c r="A488" t="s">
        <v>522</v>
      </c>
      <c r="B488" t="s">
        <v>523</v>
      </c>
      <c r="C488" t="s">
        <v>1010</v>
      </c>
      <c r="D488" t="s">
        <v>1011</v>
      </c>
    </row>
    <row r="489" spans="1:4" x14ac:dyDescent="0.3">
      <c r="A489" t="s">
        <v>522</v>
      </c>
      <c r="B489" t="s">
        <v>523</v>
      </c>
      <c r="C489" t="s">
        <v>1012</v>
      </c>
      <c r="D489" t="s">
        <v>1013</v>
      </c>
    </row>
    <row r="490" spans="1:4" x14ac:dyDescent="0.3">
      <c r="A490" t="s">
        <v>522</v>
      </c>
      <c r="B490" t="s">
        <v>523</v>
      </c>
      <c r="C490" t="s">
        <v>1014</v>
      </c>
      <c r="D490" t="s">
        <v>1015</v>
      </c>
    </row>
    <row r="491" spans="1:4" x14ac:dyDescent="0.3">
      <c r="A491" t="s">
        <v>522</v>
      </c>
      <c r="B491" t="s">
        <v>523</v>
      </c>
      <c r="C491" t="s">
        <v>1016</v>
      </c>
      <c r="D491" t="s">
        <v>1017</v>
      </c>
    </row>
    <row r="492" spans="1:4" x14ac:dyDescent="0.3">
      <c r="A492" t="s">
        <v>522</v>
      </c>
      <c r="B492" t="s">
        <v>523</v>
      </c>
      <c r="C492" t="s">
        <v>1018</v>
      </c>
      <c r="D492" t="s">
        <v>1019</v>
      </c>
    </row>
    <row r="493" spans="1:4" x14ac:dyDescent="0.3">
      <c r="A493" t="s">
        <v>522</v>
      </c>
      <c r="B493" t="s">
        <v>523</v>
      </c>
      <c r="C493" t="s">
        <v>1020</v>
      </c>
      <c r="D493" t="s">
        <v>1021</v>
      </c>
    </row>
    <row r="494" spans="1:4" x14ac:dyDescent="0.3">
      <c r="A494" t="s">
        <v>522</v>
      </c>
      <c r="B494" t="s">
        <v>523</v>
      </c>
      <c r="C494" t="s">
        <v>1022</v>
      </c>
      <c r="D494" t="s">
        <v>1023</v>
      </c>
    </row>
    <row r="495" spans="1:4" x14ac:dyDescent="0.3">
      <c r="A495" t="s">
        <v>522</v>
      </c>
      <c r="B495" t="s">
        <v>523</v>
      </c>
      <c r="C495" t="s">
        <v>1024</v>
      </c>
      <c r="D495" t="s">
        <v>1025</v>
      </c>
    </row>
    <row r="496" spans="1:4" x14ac:dyDescent="0.3">
      <c r="A496" t="s">
        <v>522</v>
      </c>
      <c r="B496" t="s">
        <v>523</v>
      </c>
      <c r="C496" t="s">
        <v>1026</v>
      </c>
      <c r="D496" t="s">
        <v>1027</v>
      </c>
    </row>
    <row r="497" spans="1:4" x14ac:dyDescent="0.3">
      <c r="A497" t="s">
        <v>522</v>
      </c>
      <c r="B497" t="s">
        <v>523</v>
      </c>
      <c r="C497" t="s">
        <v>1028</v>
      </c>
      <c r="D497" t="s">
        <v>228</v>
      </c>
    </row>
    <row r="498" spans="1:4" x14ac:dyDescent="0.3">
      <c r="A498" t="s">
        <v>522</v>
      </c>
      <c r="B498" t="s">
        <v>523</v>
      </c>
      <c r="C498" t="s">
        <v>1029</v>
      </c>
      <c r="D498" t="s">
        <v>1030</v>
      </c>
    </row>
    <row r="499" spans="1:4" x14ac:dyDescent="0.3">
      <c r="A499" t="s">
        <v>522</v>
      </c>
      <c r="B499" t="s">
        <v>523</v>
      </c>
      <c r="C499" t="s">
        <v>4236</v>
      </c>
      <c r="D499" t="s">
        <v>1899</v>
      </c>
    </row>
    <row r="500" spans="1:4" x14ac:dyDescent="0.3">
      <c r="A500" t="s">
        <v>522</v>
      </c>
      <c r="B500" t="s">
        <v>523</v>
      </c>
      <c r="C500" t="s">
        <v>1031</v>
      </c>
      <c r="D500" t="s">
        <v>1032</v>
      </c>
    </row>
    <row r="501" spans="1:4" x14ac:dyDescent="0.3">
      <c r="A501" t="s">
        <v>522</v>
      </c>
      <c r="B501" t="s">
        <v>523</v>
      </c>
      <c r="C501" t="s">
        <v>1033</v>
      </c>
      <c r="D501" t="s">
        <v>1034</v>
      </c>
    </row>
    <row r="502" spans="1:4" x14ac:dyDescent="0.3">
      <c r="A502" t="s">
        <v>522</v>
      </c>
      <c r="B502" t="s">
        <v>523</v>
      </c>
      <c r="C502" t="s">
        <v>1035</v>
      </c>
      <c r="D502" t="s">
        <v>1036</v>
      </c>
    </row>
    <row r="503" spans="1:4" x14ac:dyDescent="0.3">
      <c r="A503" t="s">
        <v>522</v>
      </c>
      <c r="B503" t="s">
        <v>523</v>
      </c>
      <c r="C503" t="s">
        <v>1037</v>
      </c>
      <c r="D503" t="s">
        <v>1038</v>
      </c>
    </row>
    <row r="504" spans="1:4" x14ac:dyDescent="0.3">
      <c r="A504" t="s">
        <v>1039</v>
      </c>
      <c r="B504" t="s">
        <v>1040</v>
      </c>
      <c r="C504" t="s">
        <v>1041</v>
      </c>
      <c r="D504" t="s">
        <v>1042</v>
      </c>
    </row>
    <row r="505" spans="1:4" x14ac:dyDescent="0.3">
      <c r="A505" t="s">
        <v>1039</v>
      </c>
      <c r="B505" t="s">
        <v>1040</v>
      </c>
      <c r="C505" t="s">
        <v>1043</v>
      </c>
      <c r="D505" t="s">
        <v>1044</v>
      </c>
    </row>
    <row r="506" spans="1:4" x14ac:dyDescent="0.3">
      <c r="A506" t="s">
        <v>1039</v>
      </c>
      <c r="B506" t="s">
        <v>1040</v>
      </c>
      <c r="C506" t="s">
        <v>1045</v>
      </c>
      <c r="D506" t="s">
        <v>1046</v>
      </c>
    </row>
    <row r="507" spans="1:4" x14ac:dyDescent="0.3">
      <c r="A507" t="s">
        <v>1039</v>
      </c>
      <c r="B507" t="s">
        <v>1040</v>
      </c>
      <c r="C507" t="s">
        <v>1047</v>
      </c>
      <c r="D507" t="s">
        <v>1048</v>
      </c>
    </row>
    <row r="508" spans="1:4" x14ac:dyDescent="0.3">
      <c r="A508" t="s">
        <v>1039</v>
      </c>
      <c r="B508" t="s">
        <v>1040</v>
      </c>
      <c r="C508" t="s">
        <v>1049</v>
      </c>
      <c r="D508" t="s">
        <v>1050</v>
      </c>
    </row>
    <row r="509" spans="1:4" x14ac:dyDescent="0.3">
      <c r="A509" t="s">
        <v>1039</v>
      </c>
      <c r="B509" t="s">
        <v>1040</v>
      </c>
      <c r="C509" t="s">
        <v>1051</v>
      </c>
      <c r="D509" t="s">
        <v>1052</v>
      </c>
    </row>
    <row r="510" spans="1:4" x14ac:dyDescent="0.3">
      <c r="A510" t="s">
        <v>1039</v>
      </c>
      <c r="B510" t="s">
        <v>1040</v>
      </c>
      <c r="C510" t="s">
        <v>1053</v>
      </c>
      <c r="D510" t="s">
        <v>1054</v>
      </c>
    </row>
    <row r="511" spans="1:4" x14ac:dyDescent="0.3">
      <c r="A511" t="s">
        <v>1039</v>
      </c>
      <c r="B511" t="s">
        <v>1040</v>
      </c>
      <c r="C511" t="s">
        <v>1055</v>
      </c>
      <c r="D511" t="s">
        <v>1056</v>
      </c>
    </row>
    <row r="512" spans="1:4" x14ac:dyDescent="0.3">
      <c r="A512" t="s">
        <v>1057</v>
      </c>
      <c r="B512" t="s">
        <v>1058</v>
      </c>
      <c r="C512" t="s">
        <v>1059</v>
      </c>
      <c r="D512" t="s">
        <v>1060</v>
      </c>
    </row>
    <row r="513" spans="1:4" x14ac:dyDescent="0.3">
      <c r="A513" t="s">
        <v>1057</v>
      </c>
      <c r="B513" t="s">
        <v>1058</v>
      </c>
      <c r="C513" t="s">
        <v>1061</v>
      </c>
      <c r="D513" t="s">
        <v>1062</v>
      </c>
    </row>
    <row r="514" spans="1:4" x14ac:dyDescent="0.3">
      <c r="A514" t="s">
        <v>1057</v>
      </c>
      <c r="B514" t="s">
        <v>1058</v>
      </c>
      <c r="C514" t="s">
        <v>1063</v>
      </c>
      <c r="D514" t="s">
        <v>1064</v>
      </c>
    </row>
    <row r="515" spans="1:4" x14ac:dyDescent="0.3">
      <c r="A515" t="s">
        <v>1057</v>
      </c>
      <c r="B515" t="s">
        <v>1058</v>
      </c>
      <c r="C515" t="s">
        <v>1065</v>
      </c>
      <c r="D515" t="s">
        <v>1066</v>
      </c>
    </row>
    <row r="516" spans="1:4" x14ac:dyDescent="0.3">
      <c r="A516" t="s">
        <v>1057</v>
      </c>
      <c r="B516" t="s">
        <v>1058</v>
      </c>
      <c r="C516" t="s">
        <v>1067</v>
      </c>
      <c r="D516" t="s">
        <v>1068</v>
      </c>
    </row>
    <row r="517" spans="1:4" x14ac:dyDescent="0.3">
      <c r="A517" t="s">
        <v>1057</v>
      </c>
      <c r="B517" t="s">
        <v>1058</v>
      </c>
      <c r="C517" t="s">
        <v>1069</v>
      </c>
      <c r="D517" t="s">
        <v>1070</v>
      </c>
    </row>
    <row r="518" spans="1:4" x14ac:dyDescent="0.3">
      <c r="A518" t="s">
        <v>1057</v>
      </c>
      <c r="B518" t="s">
        <v>1058</v>
      </c>
      <c r="C518" t="s">
        <v>1071</v>
      </c>
      <c r="D518" t="s">
        <v>1072</v>
      </c>
    </row>
    <row r="519" spans="1:4" x14ac:dyDescent="0.3">
      <c r="A519" t="s">
        <v>1057</v>
      </c>
      <c r="B519" t="s">
        <v>1058</v>
      </c>
      <c r="C519" t="s">
        <v>1073</v>
      </c>
      <c r="D519" t="s">
        <v>1074</v>
      </c>
    </row>
    <row r="520" spans="1:4" x14ac:dyDescent="0.3">
      <c r="A520" t="s">
        <v>1057</v>
      </c>
      <c r="B520" t="s">
        <v>1058</v>
      </c>
      <c r="C520" t="s">
        <v>1075</v>
      </c>
      <c r="D520" t="s">
        <v>1076</v>
      </c>
    </row>
    <row r="521" spans="1:4" x14ac:dyDescent="0.3">
      <c r="A521" t="s">
        <v>1057</v>
      </c>
      <c r="B521" t="s">
        <v>1058</v>
      </c>
      <c r="C521" t="s">
        <v>1077</v>
      </c>
      <c r="D521" t="s">
        <v>1078</v>
      </c>
    </row>
    <row r="522" spans="1:4" x14ac:dyDescent="0.3">
      <c r="A522" t="s">
        <v>1057</v>
      </c>
      <c r="B522" t="s">
        <v>1058</v>
      </c>
      <c r="C522" t="s">
        <v>1079</v>
      </c>
      <c r="D522" t="s">
        <v>1080</v>
      </c>
    </row>
    <row r="523" spans="1:4" x14ac:dyDescent="0.3">
      <c r="A523" t="s">
        <v>1057</v>
      </c>
      <c r="B523" t="s">
        <v>1058</v>
      </c>
      <c r="C523" t="s">
        <v>1081</v>
      </c>
      <c r="D523" t="s">
        <v>1082</v>
      </c>
    </row>
    <row r="524" spans="1:4" x14ac:dyDescent="0.3">
      <c r="A524" t="s">
        <v>1057</v>
      </c>
      <c r="B524" t="s">
        <v>1058</v>
      </c>
      <c r="C524" t="s">
        <v>1083</v>
      </c>
      <c r="D524" t="s">
        <v>1084</v>
      </c>
    </row>
    <row r="525" spans="1:4" x14ac:dyDescent="0.3">
      <c r="A525" t="s">
        <v>1057</v>
      </c>
      <c r="B525" t="s">
        <v>1058</v>
      </c>
      <c r="C525" t="s">
        <v>1085</v>
      </c>
      <c r="D525" t="s">
        <v>1086</v>
      </c>
    </row>
    <row r="526" spans="1:4" x14ac:dyDescent="0.3">
      <c r="A526" t="s">
        <v>1057</v>
      </c>
      <c r="B526" t="s">
        <v>1058</v>
      </c>
      <c r="C526" t="s">
        <v>1087</v>
      </c>
      <c r="D526" t="s">
        <v>1088</v>
      </c>
    </row>
    <row r="527" spans="1:4" x14ac:dyDescent="0.3">
      <c r="A527" t="s">
        <v>1057</v>
      </c>
      <c r="B527" t="s">
        <v>1058</v>
      </c>
      <c r="C527" t="s">
        <v>1089</v>
      </c>
      <c r="D527" t="s">
        <v>1090</v>
      </c>
    </row>
    <row r="528" spans="1:4" x14ac:dyDescent="0.3">
      <c r="A528" t="s">
        <v>1057</v>
      </c>
      <c r="B528" t="s">
        <v>1058</v>
      </c>
      <c r="C528" t="s">
        <v>1091</v>
      </c>
      <c r="D528" t="s">
        <v>1092</v>
      </c>
    </row>
    <row r="529" spans="1:4" x14ac:dyDescent="0.3">
      <c r="A529" t="s">
        <v>1057</v>
      </c>
      <c r="B529" t="s">
        <v>1058</v>
      </c>
      <c r="C529" t="s">
        <v>1093</v>
      </c>
      <c r="D529" t="s">
        <v>1094</v>
      </c>
    </row>
    <row r="530" spans="1:4" x14ac:dyDescent="0.3">
      <c r="A530" t="s">
        <v>1057</v>
      </c>
      <c r="B530" t="s">
        <v>1058</v>
      </c>
      <c r="C530" t="s">
        <v>1095</v>
      </c>
      <c r="D530" t="s">
        <v>1096</v>
      </c>
    </row>
    <row r="531" spans="1:4" x14ac:dyDescent="0.3">
      <c r="A531" t="s">
        <v>1057</v>
      </c>
      <c r="B531" t="s">
        <v>1058</v>
      </c>
      <c r="C531" t="s">
        <v>1097</v>
      </c>
      <c r="D531" t="s">
        <v>1098</v>
      </c>
    </row>
    <row r="532" spans="1:4" x14ac:dyDescent="0.3">
      <c r="A532" t="s">
        <v>1057</v>
      </c>
      <c r="B532" t="s">
        <v>1058</v>
      </c>
      <c r="C532" t="s">
        <v>1099</v>
      </c>
      <c r="D532" t="s">
        <v>1100</v>
      </c>
    </row>
    <row r="533" spans="1:4" x14ac:dyDescent="0.3">
      <c r="A533" t="s">
        <v>1057</v>
      </c>
      <c r="B533" t="s">
        <v>1058</v>
      </c>
      <c r="C533" t="s">
        <v>1101</v>
      </c>
      <c r="D533" t="s">
        <v>1102</v>
      </c>
    </row>
    <row r="534" spans="1:4" x14ac:dyDescent="0.3">
      <c r="A534" t="s">
        <v>1057</v>
      </c>
      <c r="B534" t="s">
        <v>1058</v>
      </c>
      <c r="C534" t="s">
        <v>1103</v>
      </c>
      <c r="D534" t="s">
        <v>1104</v>
      </c>
    </row>
    <row r="535" spans="1:4" x14ac:dyDescent="0.3">
      <c r="A535" t="s">
        <v>1057</v>
      </c>
      <c r="B535" t="s">
        <v>1058</v>
      </c>
      <c r="C535" t="s">
        <v>1105</v>
      </c>
      <c r="D535" t="s">
        <v>1106</v>
      </c>
    </row>
    <row r="536" spans="1:4" x14ac:dyDescent="0.3">
      <c r="A536" t="s">
        <v>1057</v>
      </c>
      <c r="B536" t="s">
        <v>1058</v>
      </c>
      <c r="C536" t="s">
        <v>1107</v>
      </c>
      <c r="D536" t="s">
        <v>1108</v>
      </c>
    </row>
    <row r="537" spans="1:4" x14ac:dyDescent="0.3">
      <c r="A537" t="s">
        <v>1057</v>
      </c>
      <c r="B537" t="s">
        <v>1058</v>
      </c>
      <c r="C537" t="s">
        <v>1109</v>
      </c>
      <c r="D537" t="s">
        <v>1110</v>
      </c>
    </row>
    <row r="538" spans="1:4" x14ac:dyDescent="0.3">
      <c r="A538" t="s">
        <v>1057</v>
      </c>
      <c r="B538" t="s">
        <v>1058</v>
      </c>
      <c r="C538" t="s">
        <v>1111</v>
      </c>
      <c r="D538" t="s">
        <v>1112</v>
      </c>
    </row>
    <row r="539" spans="1:4" x14ac:dyDescent="0.3">
      <c r="A539" t="s">
        <v>1057</v>
      </c>
      <c r="B539" t="s">
        <v>1058</v>
      </c>
      <c r="C539" t="s">
        <v>1113</v>
      </c>
      <c r="D539" t="s">
        <v>1114</v>
      </c>
    </row>
    <row r="540" spans="1:4" x14ac:dyDescent="0.3">
      <c r="A540" t="s">
        <v>1057</v>
      </c>
      <c r="B540" t="s">
        <v>1058</v>
      </c>
      <c r="C540" t="s">
        <v>1115</v>
      </c>
      <c r="D540" t="s">
        <v>1116</v>
      </c>
    </row>
    <row r="541" spans="1:4" x14ac:dyDescent="0.3">
      <c r="A541" t="s">
        <v>1057</v>
      </c>
      <c r="B541" t="s">
        <v>1058</v>
      </c>
      <c r="C541" t="s">
        <v>1117</v>
      </c>
      <c r="D541" t="s">
        <v>1118</v>
      </c>
    </row>
    <row r="542" spans="1:4" x14ac:dyDescent="0.3">
      <c r="A542" t="s">
        <v>1057</v>
      </c>
      <c r="B542" t="s">
        <v>1058</v>
      </c>
      <c r="C542" t="s">
        <v>1119</v>
      </c>
      <c r="D542" t="s">
        <v>1120</v>
      </c>
    </row>
    <row r="543" spans="1:4" x14ac:dyDescent="0.3">
      <c r="A543" t="s">
        <v>1057</v>
      </c>
      <c r="B543" t="s">
        <v>1058</v>
      </c>
      <c r="C543" t="s">
        <v>1121</v>
      </c>
      <c r="D543" t="s">
        <v>4262</v>
      </c>
    </row>
    <row r="544" spans="1:4" x14ac:dyDescent="0.3">
      <c r="A544" t="s">
        <v>1057</v>
      </c>
      <c r="B544" t="s">
        <v>1058</v>
      </c>
      <c r="C544" t="s">
        <v>1122</v>
      </c>
      <c r="D544" t="s">
        <v>1123</v>
      </c>
    </row>
    <row r="545" spans="1:4" x14ac:dyDescent="0.3">
      <c r="A545" t="s">
        <v>1057</v>
      </c>
      <c r="B545" t="s">
        <v>1058</v>
      </c>
      <c r="C545" t="s">
        <v>1124</v>
      </c>
      <c r="D545" t="s">
        <v>1125</v>
      </c>
    </row>
    <row r="546" spans="1:4" x14ac:dyDescent="0.3">
      <c r="A546" t="s">
        <v>1057</v>
      </c>
      <c r="B546" t="s">
        <v>1058</v>
      </c>
      <c r="C546" t="s">
        <v>1126</v>
      </c>
      <c r="D546" t="s">
        <v>1127</v>
      </c>
    </row>
    <row r="547" spans="1:4" x14ac:dyDescent="0.3">
      <c r="A547" t="s">
        <v>1057</v>
      </c>
      <c r="B547" t="s">
        <v>1058</v>
      </c>
      <c r="C547" t="s">
        <v>1128</v>
      </c>
      <c r="D547" t="s">
        <v>1129</v>
      </c>
    </row>
    <row r="548" spans="1:4" x14ac:dyDescent="0.3">
      <c r="A548" t="s">
        <v>1057</v>
      </c>
      <c r="B548" t="s">
        <v>1058</v>
      </c>
      <c r="C548" t="s">
        <v>1130</v>
      </c>
      <c r="D548" t="s">
        <v>1131</v>
      </c>
    </row>
    <row r="549" spans="1:4" x14ac:dyDescent="0.3">
      <c r="A549" t="s">
        <v>1057</v>
      </c>
      <c r="B549" t="s">
        <v>1058</v>
      </c>
      <c r="C549" t="s">
        <v>1132</v>
      </c>
      <c r="D549" t="s">
        <v>1133</v>
      </c>
    </row>
    <row r="550" spans="1:4" x14ac:dyDescent="0.3">
      <c r="A550" t="s">
        <v>1057</v>
      </c>
      <c r="B550" t="s">
        <v>1058</v>
      </c>
      <c r="C550" t="s">
        <v>1134</v>
      </c>
      <c r="D550" t="s">
        <v>1135</v>
      </c>
    </row>
    <row r="551" spans="1:4" x14ac:dyDescent="0.3">
      <c r="A551" t="s">
        <v>1057</v>
      </c>
      <c r="B551" t="s">
        <v>1058</v>
      </c>
      <c r="C551" t="s">
        <v>1136</v>
      </c>
      <c r="D551" t="s">
        <v>1137</v>
      </c>
    </row>
    <row r="552" spans="1:4" x14ac:dyDescent="0.3">
      <c r="A552" t="s">
        <v>1057</v>
      </c>
      <c r="B552" t="s">
        <v>1058</v>
      </c>
      <c r="C552" t="s">
        <v>1138</v>
      </c>
      <c r="D552" t="s">
        <v>1139</v>
      </c>
    </row>
    <row r="553" spans="1:4" x14ac:dyDescent="0.3">
      <c r="A553" t="s">
        <v>1057</v>
      </c>
      <c r="B553" t="s">
        <v>1058</v>
      </c>
      <c r="C553" t="s">
        <v>1140</v>
      </c>
      <c r="D553" t="s">
        <v>1141</v>
      </c>
    </row>
    <row r="554" spans="1:4" x14ac:dyDescent="0.3">
      <c r="A554" t="s">
        <v>1057</v>
      </c>
      <c r="B554" t="s">
        <v>1058</v>
      </c>
      <c r="C554" t="s">
        <v>1142</v>
      </c>
      <c r="D554" t="s">
        <v>1143</v>
      </c>
    </row>
    <row r="555" spans="1:4" x14ac:dyDescent="0.3">
      <c r="A555" t="s">
        <v>1144</v>
      </c>
      <c r="B555" t="s">
        <v>1145</v>
      </c>
      <c r="C555" t="s">
        <v>1146</v>
      </c>
      <c r="D555" t="s">
        <v>1147</v>
      </c>
    </row>
    <row r="556" spans="1:4" x14ac:dyDescent="0.3">
      <c r="A556" t="s">
        <v>1144</v>
      </c>
      <c r="B556" t="s">
        <v>1145</v>
      </c>
      <c r="C556" t="s">
        <v>4130</v>
      </c>
      <c r="D556" t="s">
        <v>4131</v>
      </c>
    </row>
    <row r="557" spans="1:4" x14ac:dyDescent="0.3">
      <c r="A557" t="s">
        <v>1144</v>
      </c>
      <c r="B557" t="s">
        <v>1145</v>
      </c>
      <c r="C557" t="s">
        <v>1148</v>
      </c>
      <c r="D557" t="s">
        <v>1149</v>
      </c>
    </row>
    <row r="558" spans="1:4" x14ac:dyDescent="0.3">
      <c r="A558" t="s">
        <v>1144</v>
      </c>
      <c r="B558" t="s">
        <v>1145</v>
      </c>
      <c r="C558" t="s">
        <v>1150</v>
      </c>
      <c r="D558" t="s">
        <v>4132</v>
      </c>
    </row>
    <row r="559" spans="1:4" x14ac:dyDescent="0.3">
      <c r="A559" t="s">
        <v>1144</v>
      </c>
      <c r="B559" t="s">
        <v>1145</v>
      </c>
      <c r="C559" t="s">
        <v>1151</v>
      </c>
      <c r="D559" t="s">
        <v>1152</v>
      </c>
    </row>
    <row r="560" spans="1:4" x14ac:dyDescent="0.3">
      <c r="A560" t="s">
        <v>1144</v>
      </c>
      <c r="B560" t="s">
        <v>1145</v>
      </c>
      <c r="C560" t="s">
        <v>1153</v>
      </c>
      <c r="D560" t="s">
        <v>1154</v>
      </c>
    </row>
    <row r="561" spans="1:4" x14ac:dyDescent="0.3">
      <c r="A561" t="s">
        <v>1144</v>
      </c>
      <c r="B561" t="s">
        <v>1145</v>
      </c>
      <c r="C561" t="s">
        <v>1155</v>
      </c>
      <c r="D561" t="s">
        <v>1156</v>
      </c>
    </row>
    <row r="562" spans="1:4" x14ac:dyDescent="0.3">
      <c r="A562" t="s">
        <v>1144</v>
      </c>
      <c r="B562" t="s">
        <v>1145</v>
      </c>
      <c r="C562" t="s">
        <v>1157</v>
      </c>
      <c r="D562" t="s">
        <v>1158</v>
      </c>
    </row>
    <row r="563" spans="1:4" x14ac:dyDescent="0.3">
      <c r="A563" t="s">
        <v>1144</v>
      </c>
      <c r="B563" t="s">
        <v>1145</v>
      </c>
      <c r="C563" t="s">
        <v>1159</v>
      </c>
      <c r="D563" t="s">
        <v>1160</v>
      </c>
    </row>
    <row r="564" spans="1:4" x14ac:dyDescent="0.3">
      <c r="A564" t="s">
        <v>1144</v>
      </c>
      <c r="B564" t="s">
        <v>1145</v>
      </c>
      <c r="C564" t="s">
        <v>1161</v>
      </c>
      <c r="D564" t="s">
        <v>1162</v>
      </c>
    </row>
    <row r="565" spans="1:4" x14ac:dyDescent="0.3">
      <c r="A565" t="s">
        <v>1144</v>
      </c>
      <c r="B565" t="s">
        <v>1145</v>
      </c>
      <c r="C565" t="s">
        <v>1163</v>
      </c>
      <c r="D565" t="s">
        <v>1164</v>
      </c>
    </row>
    <row r="566" spans="1:4" x14ac:dyDescent="0.3">
      <c r="A566" t="s">
        <v>1144</v>
      </c>
      <c r="B566" t="s">
        <v>1145</v>
      </c>
      <c r="C566" t="s">
        <v>1165</v>
      </c>
      <c r="D566" t="s">
        <v>1166</v>
      </c>
    </row>
    <row r="567" spans="1:4" x14ac:dyDescent="0.3">
      <c r="A567" t="s">
        <v>1144</v>
      </c>
      <c r="B567" t="s">
        <v>1145</v>
      </c>
      <c r="C567" t="s">
        <v>1167</v>
      </c>
      <c r="D567" t="s">
        <v>1168</v>
      </c>
    </row>
    <row r="568" spans="1:4" x14ac:dyDescent="0.3">
      <c r="A568" t="s">
        <v>1144</v>
      </c>
      <c r="B568" t="s">
        <v>1145</v>
      </c>
      <c r="C568" t="s">
        <v>1169</v>
      </c>
      <c r="D568" t="s">
        <v>1170</v>
      </c>
    </row>
    <row r="569" spans="1:4" x14ac:dyDescent="0.3">
      <c r="A569" t="s">
        <v>1144</v>
      </c>
      <c r="B569" t="s">
        <v>1145</v>
      </c>
      <c r="C569" t="s">
        <v>1171</v>
      </c>
      <c r="D569" t="s">
        <v>1172</v>
      </c>
    </row>
    <row r="570" spans="1:4" x14ac:dyDescent="0.3">
      <c r="A570" t="s">
        <v>1144</v>
      </c>
      <c r="B570" t="s">
        <v>1145</v>
      </c>
      <c r="C570" t="s">
        <v>1173</v>
      </c>
      <c r="D570" t="s">
        <v>1174</v>
      </c>
    </row>
    <row r="571" spans="1:4" x14ac:dyDescent="0.3">
      <c r="A571" t="s">
        <v>1144</v>
      </c>
      <c r="B571" t="s">
        <v>1145</v>
      </c>
      <c r="C571" t="s">
        <v>1175</v>
      </c>
      <c r="D571" t="s">
        <v>1176</v>
      </c>
    </row>
    <row r="572" spans="1:4" x14ac:dyDescent="0.3">
      <c r="A572" t="s">
        <v>1144</v>
      </c>
      <c r="B572" t="s">
        <v>1145</v>
      </c>
      <c r="C572" t="s">
        <v>1177</v>
      </c>
      <c r="D572" t="s">
        <v>1178</v>
      </c>
    </row>
    <row r="573" spans="1:4" x14ac:dyDescent="0.3">
      <c r="A573" t="s">
        <v>1144</v>
      </c>
      <c r="B573" t="s">
        <v>1145</v>
      </c>
      <c r="C573" t="s">
        <v>1179</v>
      </c>
      <c r="D573" t="s">
        <v>1180</v>
      </c>
    </row>
    <row r="574" spans="1:4" x14ac:dyDescent="0.3">
      <c r="A574" t="s">
        <v>1144</v>
      </c>
      <c r="B574" t="s">
        <v>1145</v>
      </c>
      <c r="C574" t="s">
        <v>1181</v>
      </c>
      <c r="D574" t="s">
        <v>1182</v>
      </c>
    </row>
    <row r="575" spans="1:4" x14ac:dyDescent="0.3">
      <c r="A575" t="s">
        <v>1144</v>
      </c>
      <c r="B575" t="s">
        <v>1145</v>
      </c>
      <c r="C575" t="s">
        <v>1183</v>
      </c>
      <c r="D575" t="s">
        <v>1184</v>
      </c>
    </row>
    <row r="576" spans="1:4" x14ac:dyDescent="0.3">
      <c r="A576" t="s">
        <v>1144</v>
      </c>
      <c r="B576" t="s">
        <v>1145</v>
      </c>
      <c r="C576" t="s">
        <v>1185</v>
      </c>
      <c r="D576" t="s">
        <v>1186</v>
      </c>
    </row>
    <row r="577" spans="1:4" x14ac:dyDescent="0.3">
      <c r="A577" t="s">
        <v>1144</v>
      </c>
      <c r="B577" t="s">
        <v>1145</v>
      </c>
      <c r="C577" t="s">
        <v>1187</v>
      </c>
      <c r="D577" t="s">
        <v>1188</v>
      </c>
    </row>
    <row r="578" spans="1:4" x14ac:dyDescent="0.3">
      <c r="A578" t="s">
        <v>1189</v>
      </c>
      <c r="B578" t="s">
        <v>1190</v>
      </c>
      <c r="C578" t="s">
        <v>1191</v>
      </c>
      <c r="D578" t="s">
        <v>1192</v>
      </c>
    </row>
    <row r="579" spans="1:4" x14ac:dyDescent="0.3">
      <c r="A579" t="s">
        <v>1189</v>
      </c>
      <c r="B579" t="s">
        <v>1190</v>
      </c>
      <c r="C579" t="s">
        <v>1193</v>
      </c>
      <c r="D579" t="s">
        <v>1194</v>
      </c>
    </row>
    <row r="580" spans="1:4" x14ac:dyDescent="0.3">
      <c r="A580" t="s">
        <v>1189</v>
      </c>
      <c r="B580" t="s">
        <v>1190</v>
      </c>
      <c r="C580" t="s">
        <v>1195</v>
      </c>
      <c r="D580" t="s">
        <v>1196</v>
      </c>
    </row>
    <row r="581" spans="1:4" x14ac:dyDescent="0.3">
      <c r="A581" t="s">
        <v>1189</v>
      </c>
      <c r="B581" t="s">
        <v>1190</v>
      </c>
      <c r="C581" t="s">
        <v>1197</v>
      </c>
      <c r="D581" t="s">
        <v>1198</v>
      </c>
    </row>
    <row r="582" spans="1:4" x14ac:dyDescent="0.3">
      <c r="A582" t="s">
        <v>1189</v>
      </c>
      <c r="B582" t="s">
        <v>1190</v>
      </c>
      <c r="C582" t="s">
        <v>1199</v>
      </c>
      <c r="D582" t="s">
        <v>1200</v>
      </c>
    </row>
    <row r="583" spans="1:4" x14ac:dyDescent="0.3">
      <c r="A583" t="s">
        <v>1189</v>
      </c>
      <c r="B583" t="s">
        <v>1190</v>
      </c>
      <c r="C583" t="s">
        <v>1201</v>
      </c>
      <c r="D583" t="s">
        <v>1202</v>
      </c>
    </row>
    <row r="584" spans="1:4" x14ac:dyDescent="0.3">
      <c r="A584" t="s">
        <v>1189</v>
      </c>
      <c r="B584" t="s">
        <v>1190</v>
      </c>
      <c r="C584" t="s">
        <v>1203</v>
      </c>
      <c r="D584" t="s">
        <v>1204</v>
      </c>
    </row>
    <row r="585" spans="1:4" x14ac:dyDescent="0.3">
      <c r="A585" t="s">
        <v>1189</v>
      </c>
      <c r="B585" t="s">
        <v>1190</v>
      </c>
      <c r="C585" t="s">
        <v>1205</v>
      </c>
      <c r="D585" t="s">
        <v>1206</v>
      </c>
    </row>
    <row r="586" spans="1:4" x14ac:dyDescent="0.3">
      <c r="A586" t="s">
        <v>1189</v>
      </c>
      <c r="B586" t="s">
        <v>1190</v>
      </c>
      <c r="C586" t="s">
        <v>1207</v>
      </c>
      <c r="D586" t="s">
        <v>1208</v>
      </c>
    </row>
    <row r="587" spans="1:4" x14ac:dyDescent="0.3">
      <c r="A587" t="s">
        <v>1189</v>
      </c>
      <c r="B587" t="s">
        <v>1190</v>
      </c>
      <c r="C587" t="s">
        <v>1209</v>
      </c>
      <c r="D587" t="s">
        <v>1210</v>
      </c>
    </row>
    <row r="588" spans="1:4" x14ac:dyDescent="0.3">
      <c r="A588" t="s">
        <v>1189</v>
      </c>
      <c r="B588" t="s">
        <v>1190</v>
      </c>
      <c r="C588" t="s">
        <v>1211</v>
      </c>
      <c r="D588" t="s">
        <v>1212</v>
      </c>
    </row>
    <row r="589" spans="1:4" x14ac:dyDescent="0.3">
      <c r="A589" t="s">
        <v>1189</v>
      </c>
      <c r="B589" t="s">
        <v>1190</v>
      </c>
      <c r="C589" t="s">
        <v>1213</v>
      </c>
      <c r="D589" t="s">
        <v>1214</v>
      </c>
    </row>
    <row r="590" spans="1:4" x14ac:dyDescent="0.3">
      <c r="A590" t="s">
        <v>1189</v>
      </c>
      <c r="B590" t="s">
        <v>1190</v>
      </c>
      <c r="C590" t="s">
        <v>1215</v>
      </c>
      <c r="D590" t="s">
        <v>1216</v>
      </c>
    </row>
    <row r="591" spans="1:4" x14ac:dyDescent="0.3">
      <c r="A591" t="s">
        <v>1189</v>
      </c>
      <c r="B591" t="s">
        <v>1190</v>
      </c>
      <c r="C591" t="s">
        <v>4263</v>
      </c>
      <c r="D591" t="s">
        <v>4264</v>
      </c>
    </row>
    <row r="592" spans="1:4" x14ac:dyDescent="0.3">
      <c r="A592" t="s">
        <v>1189</v>
      </c>
      <c r="B592" t="s">
        <v>1190</v>
      </c>
      <c r="C592" t="s">
        <v>1217</v>
      </c>
      <c r="D592" t="s">
        <v>1218</v>
      </c>
    </row>
    <row r="593" spans="1:4" x14ac:dyDescent="0.3">
      <c r="A593" t="s">
        <v>1189</v>
      </c>
      <c r="B593" t="s">
        <v>1190</v>
      </c>
      <c r="C593" t="s">
        <v>1219</v>
      </c>
      <c r="D593" t="s">
        <v>1220</v>
      </c>
    </row>
    <row r="594" spans="1:4" x14ac:dyDescent="0.3">
      <c r="A594" t="s">
        <v>1189</v>
      </c>
      <c r="B594" t="s">
        <v>1190</v>
      </c>
      <c r="C594" t="s">
        <v>1221</v>
      </c>
      <c r="D594" t="s">
        <v>1222</v>
      </c>
    </row>
    <row r="595" spans="1:4" x14ac:dyDescent="0.3">
      <c r="A595" t="s">
        <v>1189</v>
      </c>
      <c r="B595" t="s">
        <v>1190</v>
      </c>
      <c r="C595" t="s">
        <v>1223</v>
      </c>
      <c r="D595" t="s">
        <v>1224</v>
      </c>
    </row>
    <row r="596" spans="1:4" x14ac:dyDescent="0.3">
      <c r="A596" t="s">
        <v>1189</v>
      </c>
      <c r="B596" t="s">
        <v>1190</v>
      </c>
      <c r="C596" t="s">
        <v>1225</v>
      </c>
      <c r="D596" t="s">
        <v>1226</v>
      </c>
    </row>
    <row r="597" spans="1:4" x14ac:dyDescent="0.3">
      <c r="A597" t="s">
        <v>1189</v>
      </c>
      <c r="B597" t="s">
        <v>1190</v>
      </c>
      <c r="C597" t="s">
        <v>1227</v>
      </c>
      <c r="D597" t="s">
        <v>1228</v>
      </c>
    </row>
    <row r="598" spans="1:4" x14ac:dyDescent="0.3">
      <c r="A598" t="s">
        <v>1189</v>
      </c>
      <c r="B598" t="s">
        <v>1190</v>
      </c>
      <c r="C598" t="s">
        <v>1229</v>
      </c>
      <c r="D598" t="s">
        <v>1230</v>
      </c>
    </row>
    <row r="599" spans="1:4" x14ac:dyDescent="0.3">
      <c r="A599" t="s">
        <v>1189</v>
      </c>
      <c r="B599" t="s">
        <v>1190</v>
      </c>
      <c r="C599" t="s">
        <v>1231</v>
      </c>
      <c r="D599" t="s">
        <v>1232</v>
      </c>
    </row>
    <row r="600" spans="1:4" x14ac:dyDescent="0.3">
      <c r="A600" t="s">
        <v>1189</v>
      </c>
      <c r="B600" t="s">
        <v>1190</v>
      </c>
      <c r="C600" t="s">
        <v>1233</v>
      </c>
      <c r="D600" t="s">
        <v>1234</v>
      </c>
    </row>
    <row r="601" spans="1:4" x14ac:dyDescent="0.3">
      <c r="A601" t="s">
        <v>1235</v>
      </c>
      <c r="B601" t="s">
        <v>1236</v>
      </c>
      <c r="C601" t="s">
        <v>1237</v>
      </c>
      <c r="D601" t="s">
        <v>1238</v>
      </c>
    </row>
    <row r="602" spans="1:4" x14ac:dyDescent="0.3">
      <c r="A602" t="s">
        <v>1235</v>
      </c>
      <c r="B602" t="s">
        <v>1236</v>
      </c>
      <c r="C602" t="s">
        <v>1239</v>
      </c>
      <c r="D602" t="s">
        <v>1240</v>
      </c>
    </row>
    <row r="603" spans="1:4" x14ac:dyDescent="0.3">
      <c r="A603" t="s">
        <v>1235</v>
      </c>
      <c r="B603" t="s">
        <v>1236</v>
      </c>
      <c r="C603" t="s">
        <v>1241</v>
      </c>
      <c r="D603" t="s">
        <v>1242</v>
      </c>
    </row>
    <row r="604" spans="1:4" x14ac:dyDescent="0.3">
      <c r="A604" t="s">
        <v>1235</v>
      </c>
      <c r="B604" t="s">
        <v>1236</v>
      </c>
      <c r="C604" t="s">
        <v>1243</v>
      </c>
      <c r="D604" t="s">
        <v>1244</v>
      </c>
    </row>
    <row r="605" spans="1:4" x14ac:dyDescent="0.3">
      <c r="A605" t="s">
        <v>1235</v>
      </c>
      <c r="B605" t="s">
        <v>1236</v>
      </c>
      <c r="C605" t="s">
        <v>1245</v>
      </c>
      <c r="D605" t="s">
        <v>1246</v>
      </c>
    </row>
    <row r="606" spans="1:4" x14ac:dyDescent="0.3">
      <c r="A606" t="s">
        <v>1235</v>
      </c>
      <c r="B606" t="s">
        <v>1236</v>
      </c>
      <c r="C606" t="s">
        <v>1247</v>
      </c>
      <c r="D606" t="s">
        <v>1248</v>
      </c>
    </row>
    <row r="607" spans="1:4" x14ac:dyDescent="0.3">
      <c r="A607" t="s">
        <v>1235</v>
      </c>
      <c r="B607" t="s">
        <v>1236</v>
      </c>
      <c r="C607" t="s">
        <v>1249</v>
      </c>
      <c r="D607" t="s">
        <v>1250</v>
      </c>
    </row>
    <row r="608" spans="1:4" x14ac:dyDescent="0.3">
      <c r="A608" t="s">
        <v>1235</v>
      </c>
      <c r="B608" t="s">
        <v>1236</v>
      </c>
      <c r="C608" t="s">
        <v>1251</v>
      </c>
      <c r="D608" t="s">
        <v>1252</v>
      </c>
    </row>
    <row r="609" spans="1:4" x14ac:dyDescent="0.3">
      <c r="A609" t="s">
        <v>1235</v>
      </c>
      <c r="B609" t="s">
        <v>1236</v>
      </c>
      <c r="C609" t="s">
        <v>1253</v>
      </c>
      <c r="D609" t="s">
        <v>1254</v>
      </c>
    </row>
    <row r="610" spans="1:4" x14ac:dyDescent="0.3">
      <c r="A610" t="s">
        <v>1235</v>
      </c>
      <c r="B610" t="s">
        <v>1236</v>
      </c>
      <c r="C610" t="s">
        <v>1255</v>
      </c>
      <c r="D610" t="s">
        <v>509</v>
      </c>
    </row>
    <row r="611" spans="1:4" x14ac:dyDescent="0.3">
      <c r="A611" t="s">
        <v>1235</v>
      </c>
      <c r="B611" t="s">
        <v>1236</v>
      </c>
      <c r="C611" t="s">
        <v>1256</v>
      </c>
      <c r="D611" t="s">
        <v>1257</v>
      </c>
    </row>
    <row r="612" spans="1:4" x14ac:dyDescent="0.3">
      <c r="A612" t="s">
        <v>1258</v>
      </c>
      <c r="B612" t="s">
        <v>1259</v>
      </c>
      <c r="C612" t="s">
        <v>1260</v>
      </c>
      <c r="D612" t="s">
        <v>4156</v>
      </c>
    </row>
    <row r="613" spans="1:4" x14ac:dyDescent="0.3">
      <c r="A613" t="s">
        <v>1258</v>
      </c>
      <c r="B613" t="s">
        <v>1259</v>
      </c>
      <c r="C613" t="s">
        <v>1261</v>
      </c>
      <c r="D613" t="s">
        <v>4133</v>
      </c>
    </row>
    <row r="614" spans="1:4" x14ac:dyDescent="0.3">
      <c r="A614" t="s">
        <v>1258</v>
      </c>
      <c r="B614" t="s">
        <v>1259</v>
      </c>
      <c r="C614" t="s">
        <v>1262</v>
      </c>
      <c r="D614" t="s">
        <v>4134</v>
      </c>
    </row>
    <row r="615" spans="1:4" x14ac:dyDescent="0.3">
      <c r="A615" t="s">
        <v>1258</v>
      </c>
      <c r="B615" t="s">
        <v>1259</v>
      </c>
      <c r="C615" t="s">
        <v>1263</v>
      </c>
      <c r="D615" t="s">
        <v>4135</v>
      </c>
    </row>
    <row r="616" spans="1:4" x14ac:dyDescent="0.3">
      <c r="A616" t="s">
        <v>1258</v>
      </c>
      <c r="B616" t="s">
        <v>1259</v>
      </c>
      <c r="C616" t="s">
        <v>1264</v>
      </c>
      <c r="D616" t="s">
        <v>1265</v>
      </c>
    </row>
    <row r="617" spans="1:4" x14ac:dyDescent="0.3">
      <c r="A617" t="s">
        <v>1258</v>
      </c>
      <c r="B617" t="s">
        <v>1259</v>
      </c>
      <c r="C617" t="s">
        <v>1266</v>
      </c>
      <c r="D617" t="s">
        <v>4136</v>
      </c>
    </row>
    <row r="618" spans="1:4" x14ac:dyDescent="0.3">
      <c r="A618" t="s">
        <v>1267</v>
      </c>
      <c r="B618" t="s">
        <v>1268</v>
      </c>
      <c r="C618" t="s">
        <v>1269</v>
      </c>
      <c r="D618" t="s">
        <v>1270</v>
      </c>
    </row>
    <row r="619" spans="1:4" x14ac:dyDescent="0.3">
      <c r="A619" t="s">
        <v>1267</v>
      </c>
      <c r="B619" t="s">
        <v>1268</v>
      </c>
      <c r="C619" t="s">
        <v>1271</v>
      </c>
      <c r="D619" t="s">
        <v>1272</v>
      </c>
    </row>
    <row r="620" spans="1:4" x14ac:dyDescent="0.3">
      <c r="A620" t="s">
        <v>1267</v>
      </c>
      <c r="B620" t="s">
        <v>1268</v>
      </c>
      <c r="C620" t="s">
        <v>1273</v>
      </c>
      <c r="D620" t="s">
        <v>1274</v>
      </c>
    </row>
    <row r="621" spans="1:4" x14ac:dyDescent="0.3">
      <c r="A621" t="s">
        <v>1267</v>
      </c>
      <c r="B621" t="s">
        <v>1268</v>
      </c>
      <c r="C621" t="s">
        <v>1275</v>
      </c>
      <c r="D621" t="s">
        <v>1276</v>
      </c>
    </row>
    <row r="622" spans="1:4" x14ac:dyDescent="0.3">
      <c r="A622" t="s">
        <v>1267</v>
      </c>
      <c r="B622" t="s">
        <v>1268</v>
      </c>
      <c r="C622" t="s">
        <v>1277</v>
      </c>
      <c r="D622" t="s">
        <v>1278</v>
      </c>
    </row>
    <row r="623" spans="1:4" x14ac:dyDescent="0.3">
      <c r="A623" t="s">
        <v>1267</v>
      </c>
      <c r="B623" t="s">
        <v>1268</v>
      </c>
      <c r="C623" t="s">
        <v>1279</v>
      </c>
      <c r="D623" t="s">
        <v>1280</v>
      </c>
    </row>
    <row r="624" spans="1:4" x14ac:dyDescent="0.3">
      <c r="A624" t="s">
        <v>1267</v>
      </c>
      <c r="B624" t="s">
        <v>1268</v>
      </c>
      <c r="C624" t="s">
        <v>1281</v>
      </c>
      <c r="D624" t="s">
        <v>1282</v>
      </c>
    </row>
    <row r="625" spans="1:4" x14ac:dyDescent="0.3">
      <c r="A625" t="s">
        <v>1267</v>
      </c>
      <c r="B625" t="s">
        <v>1268</v>
      </c>
      <c r="C625" t="s">
        <v>1283</v>
      </c>
      <c r="D625" t="s">
        <v>1284</v>
      </c>
    </row>
    <row r="626" spans="1:4" x14ac:dyDescent="0.3">
      <c r="A626" t="s">
        <v>1267</v>
      </c>
      <c r="B626" t="s">
        <v>1268</v>
      </c>
      <c r="C626" t="s">
        <v>1285</v>
      </c>
      <c r="D626" t="s">
        <v>1286</v>
      </c>
    </row>
    <row r="627" spans="1:4" x14ac:dyDescent="0.3">
      <c r="A627" t="s">
        <v>1267</v>
      </c>
      <c r="B627" t="s">
        <v>1268</v>
      </c>
      <c r="C627" t="s">
        <v>1287</v>
      </c>
      <c r="D627" t="s">
        <v>1288</v>
      </c>
    </row>
    <row r="628" spans="1:4" x14ac:dyDescent="0.3">
      <c r="A628" t="s">
        <v>1267</v>
      </c>
      <c r="B628" t="s">
        <v>1268</v>
      </c>
      <c r="C628" t="s">
        <v>1289</v>
      </c>
      <c r="D628" t="s">
        <v>1290</v>
      </c>
    </row>
    <row r="629" spans="1:4" x14ac:dyDescent="0.3">
      <c r="A629" t="s">
        <v>1267</v>
      </c>
      <c r="B629" t="s">
        <v>1268</v>
      </c>
      <c r="C629" t="s">
        <v>1291</v>
      </c>
      <c r="D629" t="s">
        <v>1292</v>
      </c>
    </row>
    <row r="630" spans="1:4" x14ac:dyDescent="0.3">
      <c r="A630" t="s">
        <v>1267</v>
      </c>
      <c r="B630" t="s">
        <v>1268</v>
      </c>
      <c r="C630" t="s">
        <v>1337</v>
      </c>
      <c r="D630" t="s">
        <v>4140</v>
      </c>
    </row>
    <row r="631" spans="1:4" x14ac:dyDescent="0.3">
      <c r="A631" t="s">
        <v>1267</v>
      </c>
      <c r="B631" t="s">
        <v>1268</v>
      </c>
      <c r="C631" t="s">
        <v>1293</v>
      </c>
      <c r="D631" t="s">
        <v>1294</v>
      </c>
    </row>
    <row r="632" spans="1:4" x14ac:dyDescent="0.3">
      <c r="A632" t="s">
        <v>1267</v>
      </c>
      <c r="B632" t="s">
        <v>1268</v>
      </c>
      <c r="C632" t="s">
        <v>1295</v>
      </c>
      <c r="D632" t="s">
        <v>1296</v>
      </c>
    </row>
    <row r="633" spans="1:4" x14ac:dyDescent="0.3">
      <c r="A633" t="s">
        <v>1267</v>
      </c>
      <c r="B633" t="s">
        <v>1268</v>
      </c>
      <c r="C633" t="s">
        <v>1297</v>
      </c>
      <c r="D633" t="s">
        <v>1298</v>
      </c>
    </row>
    <row r="634" spans="1:4" x14ac:dyDescent="0.3">
      <c r="A634" t="s">
        <v>1267</v>
      </c>
      <c r="B634" t="s">
        <v>1268</v>
      </c>
      <c r="C634" t="s">
        <v>1299</v>
      </c>
      <c r="D634" t="s">
        <v>1300</v>
      </c>
    </row>
    <row r="635" spans="1:4" x14ac:dyDescent="0.3">
      <c r="A635" t="s">
        <v>1267</v>
      </c>
      <c r="B635" t="s">
        <v>1268</v>
      </c>
      <c r="C635" t="s">
        <v>1301</v>
      </c>
      <c r="D635" t="s">
        <v>1302</v>
      </c>
    </row>
    <row r="636" spans="1:4" x14ac:dyDescent="0.3">
      <c r="A636" t="s">
        <v>1267</v>
      </c>
      <c r="B636" t="s">
        <v>1268</v>
      </c>
      <c r="C636" t="s">
        <v>1303</v>
      </c>
      <c r="D636" t="s">
        <v>1304</v>
      </c>
    </row>
    <row r="637" spans="1:4" x14ac:dyDescent="0.3">
      <c r="A637" t="s">
        <v>1267</v>
      </c>
      <c r="B637" t="s">
        <v>1268</v>
      </c>
      <c r="C637" t="s">
        <v>1305</v>
      </c>
      <c r="D637" t="s">
        <v>1306</v>
      </c>
    </row>
    <row r="638" spans="1:4" x14ac:dyDescent="0.3">
      <c r="A638" t="s">
        <v>1267</v>
      </c>
      <c r="B638" t="s">
        <v>1268</v>
      </c>
      <c r="C638" t="s">
        <v>1307</v>
      </c>
      <c r="D638" t="s">
        <v>1308</v>
      </c>
    </row>
    <row r="639" spans="1:4" x14ac:dyDescent="0.3">
      <c r="A639" t="s">
        <v>1267</v>
      </c>
      <c r="B639" t="s">
        <v>1268</v>
      </c>
      <c r="C639" t="s">
        <v>1309</v>
      </c>
      <c r="D639" t="s">
        <v>1310</v>
      </c>
    </row>
    <row r="640" spans="1:4" x14ac:dyDescent="0.3">
      <c r="A640" t="s">
        <v>1267</v>
      </c>
      <c r="B640" t="s">
        <v>1268</v>
      </c>
      <c r="C640" t="s">
        <v>1311</v>
      </c>
      <c r="D640" t="s">
        <v>1312</v>
      </c>
    </row>
    <row r="641" spans="1:4" x14ac:dyDescent="0.3">
      <c r="A641" t="s">
        <v>1267</v>
      </c>
      <c r="B641" t="s">
        <v>1268</v>
      </c>
      <c r="C641" t="s">
        <v>1313</v>
      </c>
      <c r="D641" t="s">
        <v>1314</v>
      </c>
    </row>
    <row r="642" spans="1:4" x14ac:dyDescent="0.3">
      <c r="A642" t="s">
        <v>1267</v>
      </c>
      <c r="B642" t="s">
        <v>1268</v>
      </c>
      <c r="C642" t="s">
        <v>1315</v>
      </c>
      <c r="D642" t="s">
        <v>1316</v>
      </c>
    </row>
    <row r="643" spans="1:4" x14ac:dyDescent="0.3">
      <c r="A643" t="s">
        <v>1267</v>
      </c>
      <c r="B643" t="s">
        <v>1268</v>
      </c>
      <c r="C643" t="s">
        <v>1317</v>
      </c>
      <c r="D643" t="s">
        <v>1318</v>
      </c>
    </row>
    <row r="644" spans="1:4" x14ac:dyDescent="0.3">
      <c r="A644" t="s">
        <v>1267</v>
      </c>
      <c r="B644" t="s">
        <v>1268</v>
      </c>
      <c r="C644" t="s">
        <v>1319</v>
      </c>
      <c r="D644" t="s">
        <v>1320</v>
      </c>
    </row>
    <row r="645" spans="1:4" x14ac:dyDescent="0.3">
      <c r="A645" t="s">
        <v>1267</v>
      </c>
      <c r="B645" t="s">
        <v>1268</v>
      </c>
      <c r="C645" t="s">
        <v>1321</v>
      </c>
      <c r="D645" t="s">
        <v>1322</v>
      </c>
    </row>
    <row r="646" spans="1:4" x14ac:dyDescent="0.3">
      <c r="A646" t="s">
        <v>1267</v>
      </c>
      <c r="B646" t="s">
        <v>1268</v>
      </c>
      <c r="C646" t="s">
        <v>1323</v>
      </c>
      <c r="D646" t="s">
        <v>1324</v>
      </c>
    </row>
    <row r="647" spans="1:4" x14ac:dyDescent="0.3">
      <c r="A647" t="s">
        <v>1267</v>
      </c>
      <c r="B647" t="s">
        <v>1268</v>
      </c>
      <c r="C647" t="s">
        <v>1325</v>
      </c>
      <c r="D647" t="s">
        <v>1326</v>
      </c>
    </row>
    <row r="648" spans="1:4" x14ac:dyDescent="0.3">
      <c r="A648" t="s">
        <v>1267</v>
      </c>
      <c r="B648" t="s">
        <v>1268</v>
      </c>
      <c r="C648" t="s">
        <v>1327</v>
      </c>
      <c r="D648" t="s">
        <v>1328</v>
      </c>
    </row>
    <row r="649" spans="1:4" x14ac:dyDescent="0.3">
      <c r="A649" t="s">
        <v>1267</v>
      </c>
      <c r="B649" t="s">
        <v>1268</v>
      </c>
      <c r="C649" t="s">
        <v>1329</v>
      </c>
      <c r="D649" t="s">
        <v>1330</v>
      </c>
    </row>
    <row r="650" spans="1:4" x14ac:dyDescent="0.3">
      <c r="A650" t="s">
        <v>1267</v>
      </c>
      <c r="B650" t="s">
        <v>1268</v>
      </c>
      <c r="C650" t="s">
        <v>1331</v>
      </c>
      <c r="D650" t="s">
        <v>1332</v>
      </c>
    </row>
    <row r="651" spans="1:4" x14ac:dyDescent="0.3">
      <c r="A651" t="s">
        <v>1267</v>
      </c>
      <c r="B651" t="s">
        <v>1268</v>
      </c>
      <c r="C651" t="s">
        <v>1333</v>
      </c>
      <c r="D651" t="s">
        <v>1334</v>
      </c>
    </row>
    <row r="652" spans="1:4" x14ac:dyDescent="0.3">
      <c r="A652" t="s">
        <v>1267</v>
      </c>
      <c r="B652" t="s">
        <v>1268</v>
      </c>
      <c r="C652" t="s">
        <v>1335</v>
      </c>
      <c r="D652" t="s">
        <v>1336</v>
      </c>
    </row>
    <row r="653" spans="1:4" x14ac:dyDescent="0.3">
      <c r="A653" t="s">
        <v>1267</v>
      </c>
      <c r="B653" t="s">
        <v>1268</v>
      </c>
      <c r="C653" t="s">
        <v>1338</v>
      </c>
      <c r="D653" t="s">
        <v>1339</v>
      </c>
    </row>
    <row r="654" spans="1:4" x14ac:dyDescent="0.3">
      <c r="A654" t="s">
        <v>1267</v>
      </c>
      <c r="B654" t="s">
        <v>1268</v>
      </c>
      <c r="C654" t="s">
        <v>1340</v>
      </c>
      <c r="D654" t="s">
        <v>1341</v>
      </c>
    </row>
    <row r="655" spans="1:4" x14ac:dyDescent="0.3">
      <c r="A655" t="s">
        <v>1267</v>
      </c>
      <c r="B655" t="s">
        <v>1268</v>
      </c>
      <c r="C655" t="s">
        <v>1342</v>
      </c>
      <c r="D655" t="s">
        <v>1343</v>
      </c>
    </row>
    <row r="656" spans="1:4" x14ac:dyDescent="0.3">
      <c r="A656" t="s">
        <v>1267</v>
      </c>
      <c r="B656" t="s">
        <v>1268</v>
      </c>
      <c r="C656" t="s">
        <v>1258</v>
      </c>
      <c r="D656" t="s">
        <v>1344</v>
      </c>
    </row>
    <row r="657" spans="1:4" x14ac:dyDescent="0.3">
      <c r="A657" t="s">
        <v>1267</v>
      </c>
      <c r="B657" t="s">
        <v>1268</v>
      </c>
      <c r="C657" t="s">
        <v>1345</v>
      </c>
      <c r="D657" t="s">
        <v>1346</v>
      </c>
    </row>
    <row r="658" spans="1:4" x14ac:dyDescent="0.3">
      <c r="A658" t="s">
        <v>1267</v>
      </c>
      <c r="B658" t="s">
        <v>1268</v>
      </c>
      <c r="C658" t="s">
        <v>1347</v>
      </c>
      <c r="D658" t="s">
        <v>1348</v>
      </c>
    </row>
    <row r="659" spans="1:4" x14ac:dyDescent="0.3">
      <c r="A659" t="s">
        <v>1267</v>
      </c>
      <c r="B659" t="s">
        <v>1268</v>
      </c>
      <c r="C659" t="s">
        <v>1349</v>
      </c>
      <c r="D659" t="s">
        <v>1350</v>
      </c>
    </row>
    <row r="660" spans="1:4" x14ac:dyDescent="0.3">
      <c r="A660" t="s">
        <v>1267</v>
      </c>
      <c r="B660" t="s">
        <v>1268</v>
      </c>
      <c r="C660" t="s">
        <v>4265</v>
      </c>
      <c r="D660" t="s">
        <v>4266</v>
      </c>
    </row>
    <row r="661" spans="1:4" x14ac:dyDescent="0.3">
      <c r="A661" t="s">
        <v>1267</v>
      </c>
      <c r="B661" t="s">
        <v>1268</v>
      </c>
      <c r="C661" t="s">
        <v>1351</v>
      </c>
      <c r="D661" t="s">
        <v>1352</v>
      </c>
    </row>
    <row r="662" spans="1:4" x14ac:dyDescent="0.3">
      <c r="A662" t="s">
        <v>1267</v>
      </c>
      <c r="B662" t="s">
        <v>1268</v>
      </c>
      <c r="C662" t="s">
        <v>1353</v>
      </c>
      <c r="D662" t="s">
        <v>1354</v>
      </c>
    </row>
    <row r="663" spans="1:4" x14ac:dyDescent="0.3">
      <c r="A663" t="s">
        <v>1267</v>
      </c>
      <c r="B663" t="s">
        <v>1268</v>
      </c>
      <c r="C663" t="s">
        <v>1355</v>
      </c>
      <c r="D663" t="s">
        <v>1356</v>
      </c>
    </row>
    <row r="664" spans="1:4" x14ac:dyDescent="0.3">
      <c r="A664" t="s">
        <v>1267</v>
      </c>
      <c r="B664" t="s">
        <v>1268</v>
      </c>
      <c r="C664" t="s">
        <v>1357</v>
      </c>
      <c r="D664" t="s">
        <v>1358</v>
      </c>
    </row>
    <row r="665" spans="1:4" x14ac:dyDescent="0.3">
      <c r="A665" t="s">
        <v>1267</v>
      </c>
      <c r="B665" t="s">
        <v>1268</v>
      </c>
      <c r="C665" t="s">
        <v>1359</v>
      </c>
      <c r="D665" t="s">
        <v>1360</v>
      </c>
    </row>
    <row r="666" spans="1:4" x14ac:dyDescent="0.3">
      <c r="A666" t="s">
        <v>1267</v>
      </c>
      <c r="B666" t="s">
        <v>1268</v>
      </c>
      <c r="C666" t="s">
        <v>1361</v>
      </c>
      <c r="D666" t="s">
        <v>1362</v>
      </c>
    </row>
    <row r="667" spans="1:4" x14ac:dyDescent="0.3">
      <c r="A667" t="s">
        <v>1267</v>
      </c>
      <c r="B667" t="s">
        <v>1268</v>
      </c>
      <c r="C667" t="s">
        <v>1363</v>
      </c>
      <c r="D667" t="s">
        <v>1364</v>
      </c>
    </row>
    <row r="668" spans="1:4" x14ac:dyDescent="0.3">
      <c r="A668" t="s">
        <v>1267</v>
      </c>
      <c r="B668" t="s">
        <v>1268</v>
      </c>
      <c r="C668" t="s">
        <v>1365</v>
      </c>
      <c r="D668" t="s">
        <v>1366</v>
      </c>
    </row>
    <row r="669" spans="1:4" x14ac:dyDescent="0.3">
      <c r="A669" t="s">
        <v>1267</v>
      </c>
      <c r="B669" t="s">
        <v>1268</v>
      </c>
      <c r="C669" t="s">
        <v>1367</v>
      </c>
      <c r="D669" t="s">
        <v>1368</v>
      </c>
    </row>
    <row r="670" spans="1:4" x14ac:dyDescent="0.3">
      <c r="A670" t="s">
        <v>1267</v>
      </c>
      <c r="B670" t="s">
        <v>1268</v>
      </c>
      <c r="C670" t="s">
        <v>1369</v>
      </c>
      <c r="D670" t="s">
        <v>1370</v>
      </c>
    </row>
    <row r="671" spans="1:4" x14ac:dyDescent="0.3">
      <c r="A671" t="s">
        <v>1267</v>
      </c>
      <c r="B671" t="s">
        <v>1268</v>
      </c>
      <c r="C671" t="s">
        <v>1371</v>
      </c>
      <c r="D671" t="s">
        <v>1372</v>
      </c>
    </row>
    <row r="672" spans="1:4" x14ac:dyDescent="0.3">
      <c r="A672" t="s">
        <v>1267</v>
      </c>
      <c r="B672" t="s">
        <v>1268</v>
      </c>
      <c r="C672" t="s">
        <v>1373</v>
      </c>
      <c r="D672" t="s">
        <v>1374</v>
      </c>
    </row>
    <row r="673" spans="1:4" x14ac:dyDescent="0.3">
      <c r="A673" t="s">
        <v>1267</v>
      </c>
      <c r="B673" t="s">
        <v>1268</v>
      </c>
      <c r="C673" t="s">
        <v>1375</v>
      </c>
      <c r="D673" t="s">
        <v>1376</v>
      </c>
    </row>
    <row r="674" spans="1:4" x14ac:dyDescent="0.3">
      <c r="A674" t="s">
        <v>1267</v>
      </c>
      <c r="B674" t="s">
        <v>1268</v>
      </c>
      <c r="C674" t="s">
        <v>1377</v>
      </c>
      <c r="D674" t="s">
        <v>1378</v>
      </c>
    </row>
    <row r="675" spans="1:4" x14ac:dyDescent="0.3">
      <c r="A675" t="s">
        <v>1267</v>
      </c>
      <c r="B675" t="s">
        <v>1268</v>
      </c>
      <c r="C675" t="s">
        <v>1379</v>
      </c>
      <c r="D675" t="s">
        <v>1380</v>
      </c>
    </row>
    <row r="676" spans="1:4" x14ac:dyDescent="0.3">
      <c r="A676" t="s">
        <v>1267</v>
      </c>
      <c r="B676" t="s">
        <v>1268</v>
      </c>
      <c r="C676" t="s">
        <v>4139</v>
      </c>
      <c r="D676" t="s">
        <v>4267</v>
      </c>
    </row>
    <row r="677" spans="1:4" x14ac:dyDescent="0.3">
      <c r="A677" t="s">
        <v>1267</v>
      </c>
      <c r="B677" t="s">
        <v>1268</v>
      </c>
      <c r="C677" t="s">
        <v>1381</v>
      </c>
      <c r="D677" t="s">
        <v>1382</v>
      </c>
    </row>
    <row r="678" spans="1:4" x14ac:dyDescent="0.3">
      <c r="A678" t="s">
        <v>1267</v>
      </c>
      <c r="B678" t="s">
        <v>1268</v>
      </c>
      <c r="C678" t="s">
        <v>1383</v>
      </c>
      <c r="D678" t="s">
        <v>1384</v>
      </c>
    </row>
    <row r="679" spans="1:4" x14ac:dyDescent="0.3">
      <c r="A679" t="s">
        <v>1267</v>
      </c>
      <c r="B679" t="s">
        <v>1268</v>
      </c>
      <c r="C679" t="s">
        <v>1385</v>
      </c>
      <c r="D679" t="s">
        <v>1386</v>
      </c>
    </row>
    <row r="680" spans="1:4" x14ac:dyDescent="0.3">
      <c r="A680" t="s">
        <v>1267</v>
      </c>
      <c r="B680" t="s">
        <v>1268</v>
      </c>
      <c r="C680" t="s">
        <v>1387</v>
      </c>
      <c r="D680" t="s">
        <v>1388</v>
      </c>
    </row>
    <row r="681" spans="1:4" x14ac:dyDescent="0.3">
      <c r="A681" t="s">
        <v>1267</v>
      </c>
      <c r="B681" t="s">
        <v>1268</v>
      </c>
      <c r="C681" t="s">
        <v>1389</v>
      </c>
      <c r="D681" t="s">
        <v>1390</v>
      </c>
    </row>
    <row r="682" spans="1:4" x14ac:dyDescent="0.3">
      <c r="A682" t="s">
        <v>1267</v>
      </c>
      <c r="B682" t="s">
        <v>1268</v>
      </c>
      <c r="C682" t="s">
        <v>1391</v>
      </c>
      <c r="D682" t="s">
        <v>1392</v>
      </c>
    </row>
    <row r="683" spans="1:4" x14ac:dyDescent="0.3">
      <c r="A683" t="s">
        <v>1267</v>
      </c>
      <c r="B683" t="s">
        <v>1268</v>
      </c>
      <c r="C683" t="s">
        <v>1393</v>
      </c>
      <c r="D683" t="s">
        <v>1394</v>
      </c>
    </row>
    <row r="684" spans="1:4" x14ac:dyDescent="0.3">
      <c r="A684" t="s">
        <v>1267</v>
      </c>
      <c r="B684" t="s">
        <v>1268</v>
      </c>
      <c r="C684" t="s">
        <v>1395</v>
      </c>
      <c r="D684" t="s">
        <v>425</v>
      </c>
    </row>
    <row r="685" spans="1:4" x14ac:dyDescent="0.3">
      <c r="A685" t="s">
        <v>1267</v>
      </c>
      <c r="B685" t="s">
        <v>1268</v>
      </c>
      <c r="C685" t="s">
        <v>1396</v>
      </c>
      <c r="D685" t="s">
        <v>1397</v>
      </c>
    </row>
    <row r="686" spans="1:4" x14ac:dyDescent="0.3">
      <c r="A686" t="s">
        <v>1267</v>
      </c>
      <c r="B686" t="s">
        <v>1268</v>
      </c>
      <c r="C686" t="s">
        <v>1398</v>
      </c>
      <c r="D686" t="s">
        <v>1399</v>
      </c>
    </row>
    <row r="687" spans="1:4" x14ac:dyDescent="0.3">
      <c r="A687" t="s">
        <v>1267</v>
      </c>
      <c r="B687" t="s">
        <v>1268</v>
      </c>
      <c r="C687" t="s">
        <v>1400</v>
      </c>
      <c r="D687" t="s">
        <v>1401</v>
      </c>
    </row>
    <row r="688" spans="1:4" x14ac:dyDescent="0.3">
      <c r="A688" t="s">
        <v>1267</v>
      </c>
      <c r="B688" t="s">
        <v>1268</v>
      </c>
      <c r="C688" t="s">
        <v>4268</v>
      </c>
      <c r="D688" t="s">
        <v>4269</v>
      </c>
    </row>
    <row r="689" spans="1:4" x14ac:dyDescent="0.3">
      <c r="A689" t="s">
        <v>1267</v>
      </c>
      <c r="B689" t="s">
        <v>1268</v>
      </c>
      <c r="C689" t="s">
        <v>1402</v>
      </c>
      <c r="D689" t="s">
        <v>1403</v>
      </c>
    </row>
    <row r="690" spans="1:4" x14ac:dyDescent="0.3">
      <c r="A690" t="s">
        <v>1267</v>
      </c>
      <c r="B690" t="s">
        <v>1268</v>
      </c>
      <c r="C690" t="s">
        <v>1404</v>
      </c>
      <c r="D690" t="s">
        <v>1405</v>
      </c>
    </row>
    <row r="691" spans="1:4" x14ac:dyDescent="0.3">
      <c r="A691" t="s">
        <v>1267</v>
      </c>
      <c r="B691" t="s">
        <v>1268</v>
      </c>
      <c r="C691" t="s">
        <v>1406</v>
      </c>
      <c r="D691" t="s">
        <v>1407</v>
      </c>
    </row>
    <row r="692" spans="1:4" x14ac:dyDescent="0.3">
      <c r="A692" t="s">
        <v>1267</v>
      </c>
      <c r="B692" t="s">
        <v>1268</v>
      </c>
      <c r="C692" t="s">
        <v>1408</v>
      </c>
      <c r="D692" t="s">
        <v>457</v>
      </c>
    </row>
    <row r="693" spans="1:4" x14ac:dyDescent="0.3">
      <c r="A693" t="s">
        <v>1267</v>
      </c>
      <c r="B693" t="s">
        <v>1268</v>
      </c>
      <c r="C693" t="s">
        <v>1409</v>
      </c>
      <c r="D693" t="s">
        <v>1410</v>
      </c>
    </row>
    <row r="694" spans="1:4" x14ac:dyDescent="0.3">
      <c r="A694" t="s">
        <v>1267</v>
      </c>
      <c r="B694" t="s">
        <v>1268</v>
      </c>
      <c r="C694" t="s">
        <v>4137</v>
      </c>
      <c r="D694" t="s">
        <v>4138</v>
      </c>
    </row>
    <row r="695" spans="1:4" x14ac:dyDescent="0.3">
      <c r="A695" t="s">
        <v>1267</v>
      </c>
      <c r="B695" t="s">
        <v>1268</v>
      </c>
      <c r="C695" t="s">
        <v>1411</v>
      </c>
      <c r="D695" t="s">
        <v>1412</v>
      </c>
    </row>
    <row r="696" spans="1:4" x14ac:dyDescent="0.3">
      <c r="A696" t="s">
        <v>1267</v>
      </c>
      <c r="B696" t="s">
        <v>1268</v>
      </c>
      <c r="C696" t="s">
        <v>1413</v>
      </c>
      <c r="D696" t="s">
        <v>1414</v>
      </c>
    </row>
    <row r="697" spans="1:4" x14ac:dyDescent="0.3">
      <c r="A697" t="s">
        <v>1267</v>
      </c>
      <c r="B697" t="s">
        <v>1268</v>
      </c>
      <c r="C697" t="s">
        <v>1415</v>
      </c>
      <c r="D697" t="s">
        <v>1416</v>
      </c>
    </row>
    <row r="698" spans="1:4" x14ac:dyDescent="0.3">
      <c r="A698" t="s">
        <v>1267</v>
      </c>
      <c r="B698" t="s">
        <v>1268</v>
      </c>
      <c r="C698" t="s">
        <v>1417</v>
      </c>
      <c r="D698" t="s">
        <v>1418</v>
      </c>
    </row>
    <row r="699" spans="1:4" x14ac:dyDescent="0.3">
      <c r="A699" t="s">
        <v>1267</v>
      </c>
      <c r="B699" t="s">
        <v>1268</v>
      </c>
      <c r="C699" t="s">
        <v>1419</v>
      </c>
      <c r="D699" t="s">
        <v>1420</v>
      </c>
    </row>
    <row r="700" spans="1:4" x14ac:dyDescent="0.3">
      <c r="A700" t="s">
        <v>1267</v>
      </c>
      <c r="B700" t="s">
        <v>1268</v>
      </c>
      <c r="C700" t="s">
        <v>1421</v>
      </c>
      <c r="D700" t="s">
        <v>1422</v>
      </c>
    </row>
    <row r="701" spans="1:4" x14ac:dyDescent="0.3">
      <c r="A701" t="s">
        <v>1267</v>
      </c>
      <c r="B701" t="s">
        <v>1268</v>
      </c>
      <c r="C701" t="s">
        <v>1423</v>
      </c>
      <c r="D701" t="s">
        <v>1424</v>
      </c>
    </row>
    <row r="702" spans="1:4" x14ac:dyDescent="0.3">
      <c r="A702" t="s">
        <v>1267</v>
      </c>
      <c r="B702" t="s">
        <v>1268</v>
      </c>
      <c r="C702" t="s">
        <v>1425</v>
      </c>
      <c r="D702" t="s">
        <v>1426</v>
      </c>
    </row>
    <row r="703" spans="1:4" x14ac:dyDescent="0.3">
      <c r="A703" t="s">
        <v>1267</v>
      </c>
      <c r="B703" t="s">
        <v>1268</v>
      </c>
      <c r="C703" t="s">
        <v>1427</v>
      </c>
      <c r="D703" t="s">
        <v>1428</v>
      </c>
    </row>
    <row r="704" spans="1:4" x14ac:dyDescent="0.3">
      <c r="A704" t="s">
        <v>1267</v>
      </c>
      <c r="B704" t="s">
        <v>1268</v>
      </c>
      <c r="C704" t="s">
        <v>1429</v>
      </c>
      <c r="D704" t="s">
        <v>1430</v>
      </c>
    </row>
    <row r="705" spans="1:4" x14ac:dyDescent="0.3">
      <c r="A705" t="s">
        <v>1267</v>
      </c>
      <c r="B705" t="s">
        <v>1268</v>
      </c>
      <c r="C705" t="s">
        <v>4270</v>
      </c>
      <c r="D705" t="s">
        <v>4271</v>
      </c>
    </row>
    <row r="706" spans="1:4" x14ac:dyDescent="0.3">
      <c r="A706" t="s">
        <v>1267</v>
      </c>
      <c r="B706" t="s">
        <v>1268</v>
      </c>
      <c r="C706" t="s">
        <v>1431</v>
      </c>
      <c r="D706" t="s">
        <v>487</v>
      </c>
    </row>
    <row r="707" spans="1:4" x14ac:dyDescent="0.3">
      <c r="A707" t="s">
        <v>1267</v>
      </c>
      <c r="B707" t="s">
        <v>1268</v>
      </c>
      <c r="C707" t="s">
        <v>1432</v>
      </c>
      <c r="D707" t="s">
        <v>1433</v>
      </c>
    </row>
    <row r="708" spans="1:4" x14ac:dyDescent="0.3">
      <c r="A708" t="s">
        <v>1267</v>
      </c>
      <c r="B708" t="s">
        <v>1268</v>
      </c>
      <c r="C708" t="s">
        <v>4272</v>
      </c>
      <c r="D708" t="s">
        <v>4273</v>
      </c>
    </row>
    <row r="709" spans="1:4" x14ac:dyDescent="0.3">
      <c r="A709" t="s">
        <v>1267</v>
      </c>
      <c r="B709" t="s">
        <v>1268</v>
      </c>
      <c r="C709" t="s">
        <v>1434</v>
      </c>
      <c r="D709" t="s">
        <v>1435</v>
      </c>
    </row>
    <row r="710" spans="1:4" x14ac:dyDescent="0.3">
      <c r="A710" t="s">
        <v>1267</v>
      </c>
      <c r="B710" t="s">
        <v>1268</v>
      </c>
      <c r="C710" t="s">
        <v>4274</v>
      </c>
      <c r="D710" t="s">
        <v>4275</v>
      </c>
    </row>
    <row r="711" spans="1:4" x14ac:dyDescent="0.3">
      <c r="A711" t="s">
        <v>1267</v>
      </c>
      <c r="B711" t="s">
        <v>1268</v>
      </c>
      <c r="C711" t="s">
        <v>1436</v>
      </c>
      <c r="D711" t="s">
        <v>1437</v>
      </c>
    </row>
    <row r="712" spans="1:4" x14ac:dyDescent="0.3">
      <c r="A712" t="s">
        <v>1267</v>
      </c>
      <c r="B712" t="s">
        <v>1268</v>
      </c>
      <c r="C712" t="s">
        <v>1438</v>
      </c>
      <c r="D712" t="s">
        <v>1439</v>
      </c>
    </row>
    <row r="713" spans="1:4" x14ac:dyDescent="0.3">
      <c r="A713" t="s">
        <v>1267</v>
      </c>
      <c r="B713" t="s">
        <v>1268</v>
      </c>
      <c r="C713" t="s">
        <v>1440</v>
      </c>
      <c r="D713" t="s">
        <v>1441</v>
      </c>
    </row>
    <row r="714" spans="1:4" x14ac:dyDescent="0.3">
      <c r="A714" t="s">
        <v>1267</v>
      </c>
      <c r="B714" t="s">
        <v>1268</v>
      </c>
      <c r="C714" t="s">
        <v>1442</v>
      </c>
      <c r="D714" t="s">
        <v>1443</v>
      </c>
    </row>
    <row r="715" spans="1:4" x14ac:dyDescent="0.3">
      <c r="A715" t="s">
        <v>1267</v>
      </c>
      <c r="B715" t="s">
        <v>1268</v>
      </c>
      <c r="C715" t="s">
        <v>1444</v>
      </c>
      <c r="D715" t="s">
        <v>1445</v>
      </c>
    </row>
    <row r="716" spans="1:4" x14ac:dyDescent="0.3">
      <c r="A716" t="s">
        <v>1267</v>
      </c>
      <c r="B716" t="s">
        <v>1268</v>
      </c>
      <c r="C716" t="s">
        <v>4276</v>
      </c>
      <c r="D716" t="s">
        <v>4277</v>
      </c>
    </row>
    <row r="717" spans="1:4" x14ac:dyDescent="0.3">
      <c r="A717" t="s">
        <v>1267</v>
      </c>
      <c r="B717" t="s">
        <v>1268</v>
      </c>
      <c r="C717" t="s">
        <v>1446</v>
      </c>
      <c r="D717" t="s">
        <v>1447</v>
      </c>
    </row>
    <row r="718" spans="1:4" x14ac:dyDescent="0.3">
      <c r="A718" t="s">
        <v>1267</v>
      </c>
      <c r="B718" t="s">
        <v>1268</v>
      </c>
      <c r="C718" t="s">
        <v>1448</v>
      </c>
      <c r="D718" t="s">
        <v>1449</v>
      </c>
    </row>
    <row r="719" spans="1:4" x14ac:dyDescent="0.3">
      <c r="A719" t="s">
        <v>1267</v>
      </c>
      <c r="B719" t="s">
        <v>1268</v>
      </c>
      <c r="C719" t="s">
        <v>1450</v>
      </c>
      <c r="D719" t="s">
        <v>1451</v>
      </c>
    </row>
    <row r="720" spans="1:4" x14ac:dyDescent="0.3">
      <c r="A720" t="s">
        <v>1267</v>
      </c>
      <c r="B720" t="s">
        <v>1268</v>
      </c>
      <c r="C720" t="s">
        <v>1452</v>
      </c>
      <c r="D720" t="s">
        <v>1453</v>
      </c>
    </row>
    <row r="721" spans="1:4" x14ac:dyDescent="0.3">
      <c r="A721" t="s">
        <v>1267</v>
      </c>
      <c r="B721" t="s">
        <v>1268</v>
      </c>
      <c r="C721" t="s">
        <v>1454</v>
      </c>
      <c r="D721" t="s">
        <v>1455</v>
      </c>
    </row>
    <row r="722" spans="1:4" x14ac:dyDescent="0.3">
      <c r="A722" t="s">
        <v>1267</v>
      </c>
      <c r="B722" t="s">
        <v>1268</v>
      </c>
      <c r="C722" t="s">
        <v>1456</v>
      </c>
      <c r="D722" t="s">
        <v>1457</v>
      </c>
    </row>
    <row r="723" spans="1:4" x14ac:dyDescent="0.3">
      <c r="A723" t="s">
        <v>1267</v>
      </c>
      <c r="B723" t="s">
        <v>1268</v>
      </c>
      <c r="C723" t="s">
        <v>1458</v>
      </c>
      <c r="D723" t="s">
        <v>1459</v>
      </c>
    </row>
    <row r="724" spans="1:4" x14ac:dyDescent="0.3">
      <c r="A724" t="s">
        <v>1267</v>
      </c>
      <c r="B724" t="s">
        <v>1268</v>
      </c>
      <c r="C724" t="s">
        <v>1460</v>
      </c>
      <c r="D724" t="s">
        <v>1461</v>
      </c>
    </row>
    <row r="725" spans="1:4" x14ac:dyDescent="0.3">
      <c r="A725" t="s">
        <v>1462</v>
      </c>
      <c r="B725" t="s">
        <v>1463</v>
      </c>
      <c r="C725" t="s">
        <v>1464</v>
      </c>
      <c r="D725" t="s">
        <v>1465</v>
      </c>
    </row>
    <row r="726" spans="1:4" x14ac:dyDescent="0.3">
      <c r="A726" t="s">
        <v>1462</v>
      </c>
      <c r="B726" t="s">
        <v>1463</v>
      </c>
      <c r="C726" t="s">
        <v>1466</v>
      </c>
      <c r="D726" t="s">
        <v>1467</v>
      </c>
    </row>
    <row r="727" spans="1:4" x14ac:dyDescent="0.3">
      <c r="A727" t="s">
        <v>1462</v>
      </c>
      <c r="B727" t="s">
        <v>1463</v>
      </c>
      <c r="C727" t="s">
        <v>1468</v>
      </c>
      <c r="D727" t="s">
        <v>1469</v>
      </c>
    </row>
    <row r="728" spans="1:4" x14ac:dyDescent="0.3">
      <c r="A728" t="s">
        <v>1462</v>
      </c>
      <c r="B728" t="s">
        <v>1463</v>
      </c>
      <c r="C728" t="s">
        <v>1470</v>
      </c>
      <c r="D728" t="s">
        <v>1471</v>
      </c>
    </row>
    <row r="729" spans="1:4" x14ac:dyDescent="0.3">
      <c r="A729" t="s">
        <v>1462</v>
      </c>
      <c r="B729" t="s">
        <v>1463</v>
      </c>
      <c r="C729" t="s">
        <v>1472</v>
      </c>
      <c r="D729" t="s">
        <v>1473</v>
      </c>
    </row>
    <row r="730" spans="1:4" x14ac:dyDescent="0.3">
      <c r="A730" t="s">
        <v>1462</v>
      </c>
      <c r="B730" t="s">
        <v>1463</v>
      </c>
      <c r="C730" t="s">
        <v>1474</v>
      </c>
      <c r="D730" t="s">
        <v>1475</v>
      </c>
    </row>
    <row r="731" spans="1:4" x14ac:dyDescent="0.3">
      <c r="A731" t="s">
        <v>1462</v>
      </c>
      <c r="B731" t="s">
        <v>1463</v>
      </c>
      <c r="C731" t="s">
        <v>1476</v>
      </c>
      <c r="D731" t="s">
        <v>1477</v>
      </c>
    </row>
    <row r="732" spans="1:4" x14ac:dyDescent="0.3">
      <c r="A732" t="s">
        <v>1462</v>
      </c>
      <c r="B732" t="s">
        <v>1463</v>
      </c>
      <c r="C732" t="s">
        <v>1478</v>
      </c>
      <c r="D732" t="s">
        <v>1479</v>
      </c>
    </row>
    <row r="733" spans="1:4" x14ac:dyDescent="0.3">
      <c r="A733" t="s">
        <v>1462</v>
      </c>
      <c r="B733" t="s">
        <v>1463</v>
      </c>
      <c r="C733" t="s">
        <v>1480</v>
      </c>
      <c r="D733" t="s">
        <v>1481</v>
      </c>
    </row>
    <row r="734" spans="1:4" x14ac:dyDescent="0.3">
      <c r="A734" t="s">
        <v>1462</v>
      </c>
      <c r="B734" t="s">
        <v>1463</v>
      </c>
      <c r="C734" t="s">
        <v>1482</v>
      </c>
      <c r="D734" t="s">
        <v>1483</v>
      </c>
    </row>
    <row r="735" spans="1:4" x14ac:dyDescent="0.3">
      <c r="A735" t="s">
        <v>1462</v>
      </c>
      <c r="B735" t="s">
        <v>1463</v>
      </c>
      <c r="C735" t="s">
        <v>1484</v>
      </c>
      <c r="D735" t="s">
        <v>1485</v>
      </c>
    </row>
    <row r="736" spans="1:4" x14ac:dyDescent="0.3">
      <c r="A736" t="s">
        <v>1462</v>
      </c>
      <c r="B736" t="s">
        <v>1463</v>
      </c>
      <c r="C736" t="s">
        <v>1486</v>
      </c>
      <c r="D736" t="s">
        <v>1487</v>
      </c>
    </row>
    <row r="737" spans="1:4" x14ac:dyDescent="0.3">
      <c r="A737" t="s">
        <v>1462</v>
      </c>
      <c r="B737" t="s">
        <v>1463</v>
      </c>
      <c r="C737" t="s">
        <v>1488</v>
      </c>
      <c r="D737" t="s">
        <v>1489</v>
      </c>
    </row>
    <row r="738" spans="1:4" x14ac:dyDescent="0.3">
      <c r="A738" t="s">
        <v>1462</v>
      </c>
      <c r="B738" t="s">
        <v>1463</v>
      </c>
      <c r="C738" t="s">
        <v>1809</v>
      </c>
      <c r="D738" t="s">
        <v>4225</v>
      </c>
    </row>
    <row r="739" spans="1:4" x14ac:dyDescent="0.3">
      <c r="A739" t="s">
        <v>1462</v>
      </c>
      <c r="B739" t="s">
        <v>1463</v>
      </c>
      <c r="C739" t="s">
        <v>1490</v>
      </c>
      <c r="D739" t="s">
        <v>1491</v>
      </c>
    </row>
    <row r="740" spans="1:4" x14ac:dyDescent="0.3">
      <c r="A740" t="s">
        <v>1462</v>
      </c>
      <c r="B740" t="s">
        <v>1463</v>
      </c>
      <c r="C740" t="s">
        <v>1492</v>
      </c>
      <c r="D740" t="s">
        <v>1493</v>
      </c>
    </row>
    <row r="741" spans="1:4" x14ac:dyDescent="0.3">
      <c r="A741" t="s">
        <v>1462</v>
      </c>
      <c r="B741" t="s">
        <v>1463</v>
      </c>
      <c r="C741" t="s">
        <v>1494</v>
      </c>
      <c r="D741" t="s">
        <v>1495</v>
      </c>
    </row>
    <row r="742" spans="1:4" x14ac:dyDescent="0.3">
      <c r="A742" t="s">
        <v>1462</v>
      </c>
      <c r="B742" t="s">
        <v>1463</v>
      </c>
      <c r="C742" t="s">
        <v>1496</v>
      </c>
      <c r="D742" t="s">
        <v>1497</v>
      </c>
    </row>
    <row r="743" spans="1:4" x14ac:dyDescent="0.3">
      <c r="A743" t="s">
        <v>1462</v>
      </c>
      <c r="B743" t="s">
        <v>1463</v>
      </c>
      <c r="C743" t="s">
        <v>1498</v>
      </c>
      <c r="D743" t="s">
        <v>1499</v>
      </c>
    </row>
    <row r="744" spans="1:4" x14ac:dyDescent="0.3">
      <c r="A744" t="s">
        <v>1462</v>
      </c>
      <c r="B744" t="s">
        <v>1463</v>
      </c>
      <c r="C744" t="s">
        <v>1500</v>
      </c>
      <c r="D744" t="s">
        <v>1501</v>
      </c>
    </row>
    <row r="745" spans="1:4" x14ac:dyDescent="0.3">
      <c r="A745" t="s">
        <v>1462</v>
      </c>
      <c r="B745" t="s">
        <v>1463</v>
      </c>
      <c r="C745" t="s">
        <v>1502</v>
      </c>
      <c r="D745" t="s">
        <v>1503</v>
      </c>
    </row>
    <row r="746" spans="1:4" x14ac:dyDescent="0.3">
      <c r="A746" t="s">
        <v>1462</v>
      </c>
      <c r="B746" t="s">
        <v>1463</v>
      </c>
      <c r="C746" t="s">
        <v>1504</v>
      </c>
      <c r="D746" t="s">
        <v>1505</v>
      </c>
    </row>
    <row r="747" spans="1:4" x14ac:dyDescent="0.3">
      <c r="A747" t="s">
        <v>1462</v>
      </c>
      <c r="B747" t="s">
        <v>1463</v>
      </c>
      <c r="C747" t="s">
        <v>1506</v>
      </c>
      <c r="D747" t="s">
        <v>1507</v>
      </c>
    </row>
    <row r="748" spans="1:4" x14ac:dyDescent="0.3">
      <c r="A748" t="s">
        <v>1462</v>
      </c>
      <c r="B748" t="s">
        <v>1463</v>
      </c>
      <c r="C748" t="s">
        <v>1508</v>
      </c>
      <c r="D748" t="s">
        <v>1509</v>
      </c>
    </row>
    <row r="749" spans="1:4" x14ac:dyDescent="0.3">
      <c r="A749" t="s">
        <v>1462</v>
      </c>
      <c r="B749" t="s">
        <v>1463</v>
      </c>
      <c r="C749" t="s">
        <v>1510</v>
      </c>
      <c r="D749" t="s">
        <v>1511</v>
      </c>
    </row>
    <row r="750" spans="1:4" x14ac:dyDescent="0.3">
      <c r="A750" t="s">
        <v>1462</v>
      </c>
      <c r="B750" t="s">
        <v>1463</v>
      </c>
      <c r="C750" t="s">
        <v>1512</v>
      </c>
      <c r="D750" t="s">
        <v>1513</v>
      </c>
    </row>
    <row r="751" spans="1:4" x14ac:dyDescent="0.3">
      <c r="A751" t="s">
        <v>1462</v>
      </c>
      <c r="B751" t="s">
        <v>1463</v>
      </c>
      <c r="C751" t="s">
        <v>1514</v>
      </c>
      <c r="D751" t="s">
        <v>1515</v>
      </c>
    </row>
    <row r="752" spans="1:4" x14ac:dyDescent="0.3">
      <c r="A752" t="s">
        <v>1462</v>
      </c>
      <c r="B752" t="s">
        <v>1463</v>
      </c>
      <c r="C752" t="s">
        <v>1516</v>
      </c>
      <c r="D752" t="s">
        <v>1517</v>
      </c>
    </row>
    <row r="753" spans="1:4" x14ac:dyDescent="0.3">
      <c r="A753" t="s">
        <v>1462</v>
      </c>
      <c r="B753" t="s">
        <v>1463</v>
      </c>
      <c r="C753" t="s">
        <v>1518</v>
      </c>
      <c r="D753" t="s">
        <v>1519</v>
      </c>
    </row>
    <row r="754" spans="1:4" x14ac:dyDescent="0.3">
      <c r="A754" t="s">
        <v>1462</v>
      </c>
      <c r="B754" t="s">
        <v>1463</v>
      </c>
      <c r="C754" t="s">
        <v>1520</v>
      </c>
      <c r="D754" t="s">
        <v>1521</v>
      </c>
    </row>
    <row r="755" spans="1:4" x14ac:dyDescent="0.3">
      <c r="A755" t="s">
        <v>1462</v>
      </c>
      <c r="B755" t="s">
        <v>1463</v>
      </c>
      <c r="C755" t="s">
        <v>1522</v>
      </c>
      <c r="D755" t="s">
        <v>1523</v>
      </c>
    </row>
    <row r="756" spans="1:4" x14ac:dyDescent="0.3">
      <c r="A756" t="s">
        <v>1462</v>
      </c>
      <c r="B756" t="s">
        <v>1463</v>
      </c>
      <c r="C756" t="s">
        <v>1524</v>
      </c>
      <c r="D756" t="s">
        <v>1525</v>
      </c>
    </row>
    <row r="757" spans="1:4" x14ac:dyDescent="0.3">
      <c r="A757" t="s">
        <v>1462</v>
      </c>
      <c r="B757" t="s">
        <v>1463</v>
      </c>
      <c r="C757" t="s">
        <v>1526</v>
      </c>
      <c r="D757" t="s">
        <v>1527</v>
      </c>
    </row>
    <row r="758" spans="1:4" x14ac:dyDescent="0.3">
      <c r="A758" t="s">
        <v>1462</v>
      </c>
      <c r="B758" t="s">
        <v>1463</v>
      </c>
      <c r="C758" t="s">
        <v>1528</v>
      </c>
      <c r="D758" t="s">
        <v>1529</v>
      </c>
    </row>
    <row r="759" spans="1:4" x14ac:dyDescent="0.3">
      <c r="A759" t="s">
        <v>1462</v>
      </c>
      <c r="B759" t="s">
        <v>1463</v>
      </c>
      <c r="C759" t="s">
        <v>1530</v>
      </c>
      <c r="D759" t="s">
        <v>1531</v>
      </c>
    </row>
    <row r="760" spans="1:4" x14ac:dyDescent="0.3">
      <c r="A760" t="s">
        <v>1462</v>
      </c>
      <c r="B760" t="s">
        <v>1463</v>
      </c>
      <c r="C760" t="s">
        <v>1532</v>
      </c>
      <c r="D760" t="s">
        <v>1533</v>
      </c>
    </row>
    <row r="761" spans="1:4" x14ac:dyDescent="0.3">
      <c r="A761" t="s">
        <v>1462</v>
      </c>
      <c r="B761" t="s">
        <v>1463</v>
      </c>
      <c r="C761" t="s">
        <v>1534</v>
      </c>
      <c r="D761" t="s">
        <v>1535</v>
      </c>
    </row>
    <row r="762" spans="1:4" x14ac:dyDescent="0.3">
      <c r="A762" t="s">
        <v>1462</v>
      </c>
      <c r="B762" t="s">
        <v>1463</v>
      </c>
      <c r="C762" t="s">
        <v>1536</v>
      </c>
      <c r="D762" t="s">
        <v>1204</v>
      </c>
    </row>
    <row r="763" spans="1:4" x14ac:dyDescent="0.3">
      <c r="A763" t="s">
        <v>1462</v>
      </c>
      <c r="B763" t="s">
        <v>1463</v>
      </c>
      <c r="C763" t="s">
        <v>1537</v>
      </c>
      <c r="D763" t="s">
        <v>1538</v>
      </c>
    </row>
    <row r="764" spans="1:4" x14ac:dyDescent="0.3">
      <c r="A764" t="s">
        <v>1462</v>
      </c>
      <c r="B764" t="s">
        <v>1463</v>
      </c>
      <c r="C764" t="s">
        <v>1539</v>
      </c>
      <c r="D764" t="s">
        <v>1540</v>
      </c>
    </row>
    <row r="765" spans="1:4" x14ac:dyDescent="0.3">
      <c r="A765" t="s">
        <v>1462</v>
      </c>
      <c r="B765" t="s">
        <v>1463</v>
      </c>
      <c r="C765" t="s">
        <v>1541</v>
      </c>
      <c r="D765" t="s">
        <v>1542</v>
      </c>
    </row>
    <row r="766" spans="1:4" x14ac:dyDescent="0.3">
      <c r="A766" t="s">
        <v>1462</v>
      </c>
      <c r="B766" t="s">
        <v>1463</v>
      </c>
      <c r="C766" t="s">
        <v>1543</v>
      </c>
      <c r="D766" t="s">
        <v>1544</v>
      </c>
    </row>
    <row r="767" spans="1:4" x14ac:dyDescent="0.3">
      <c r="A767" t="s">
        <v>1462</v>
      </c>
      <c r="B767" t="s">
        <v>1463</v>
      </c>
      <c r="C767" t="s">
        <v>1545</v>
      </c>
      <c r="D767" t="s">
        <v>1546</v>
      </c>
    </row>
    <row r="768" spans="1:4" x14ac:dyDescent="0.3">
      <c r="A768" t="s">
        <v>1462</v>
      </c>
      <c r="B768" t="s">
        <v>1463</v>
      </c>
      <c r="C768" t="s">
        <v>1547</v>
      </c>
      <c r="D768" t="s">
        <v>1548</v>
      </c>
    </row>
    <row r="769" spans="1:4" x14ac:dyDescent="0.3">
      <c r="A769" t="s">
        <v>1462</v>
      </c>
      <c r="B769" t="s">
        <v>1463</v>
      </c>
      <c r="C769" t="s">
        <v>1549</v>
      </c>
      <c r="D769" t="s">
        <v>1550</v>
      </c>
    </row>
    <row r="770" spans="1:4" x14ac:dyDescent="0.3">
      <c r="A770" t="s">
        <v>1462</v>
      </c>
      <c r="B770" t="s">
        <v>1463</v>
      </c>
      <c r="C770" t="s">
        <v>1551</v>
      </c>
      <c r="D770" t="s">
        <v>1552</v>
      </c>
    </row>
    <row r="771" spans="1:4" x14ac:dyDescent="0.3">
      <c r="A771" t="s">
        <v>1462</v>
      </c>
      <c r="B771" t="s">
        <v>1463</v>
      </c>
      <c r="C771" t="s">
        <v>1553</v>
      </c>
      <c r="D771" t="s">
        <v>1554</v>
      </c>
    </row>
    <row r="772" spans="1:4" x14ac:dyDescent="0.3">
      <c r="A772" t="s">
        <v>1462</v>
      </c>
      <c r="B772" t="s">
        <v>1463</v>
      </c>
      <c r="C772" t="s">
        <v>1555</v>
      </c>
      <c r="D772" t="s">
        <v>1556</v>
      </c>
    </row>
    <row r="773" spans="1:4" x14ac:dyDescent="0.3">
      <c r="A773" t="s">
        <v>1462</v>
      </c>
      <c r="B773" t="s">
        <v>1463</v>
      </c>
      <c r="C773" t="s">
        <v>1557</v>
      </c>
      <c r="D773" t="s">
        <v>1558</v>
      </c>
    </row>
    <row r="774" spans="1:4" x14ac:dyDescent="0.3">
      <c r="A774" t="s">
        <v>1462</v>
      </c>
      <c r="B774" t="s">
        <v>1463</v>
      </c>
      <c r="C774" t="s">
        <v>1559</v>
      </c>
      <c r="D774" t="s">
        <v>1560</v>
      </c>
    </row>
    <row r="775" spans="1:4" x14ac:dyDescent="0.3">
      <c r="A775" t="s">
        <v>1462</v>
      </c>
      <c r="B775" t="s">
        <v>1463</v>
      </c>
      <c r="C775" t="s">
        <v>1561</v>
      </c>
      <c r="D775" t="s">
        <v>1562</v>
      </c>
    </row>
    <row r="776" spans="1:4" x14ac:dyDescent="0.3">
      <c r="A776" t="s">
        <v>1462</v>
      </c>
      <c r="B776" t="s">
        <v>1463</v>
      </c>
      <c r="C776" t="s">
        <v>1563</v>
      </c>
      <c r="D776" t="s">
        <v>1564</v>
      </c>
    </row>
    <row r="777" spans="1:4" x14ac:dyDescent="0.3">
      <c r="A777" t="s">
        <v>1462</v>
      </c>
      <c r="B777" t="s">
        <v>1463</v>
      </c>
      <c r="C777" t="s">
        <v>1565</v>
      </c>
      <c r="D777" t="s">
        <v>1566</v>
      </c>
    </row>
    <row r="778" spans="1:4" x14ac:dyDescent="0.3">
      <c r="A778" t="s">
        <v>1462</v>
      </c>
      <c r="B778" t="s">
        <v>1463</v>
      </c>
      <c r="C778" t="s">
        <v>1567</v>
      </c>
      <c r="D778" t="s">
        <v>1568</v>
      </c>
    </row>
    <row r="779" spans="1:4" x14ac:dyDescent="0.3">
      <c r="A779" t="s">
        <v>1462</v>
      </c>
      <c r="B779" t="s">
        <v>1463</v>
      </c>
      <c r="C779" t="s">
        <v>1569</v>
      </c>
      <c r="D779" t="s">
        <v>1570</v>
      </c>
    </row>
    <row r="780" spans="1:4" x14ac:dyDescent="0.3">
      <c r="A780" t="s">
        <v>1462</v>
      </c>
      <c r="B780" t="s">
        <v>1463</v>
      </c>
      <c r="C780" t="s">
        <v>1571</v>
      </c>
      <c r="D780" t="s">
        <v>1572</v>
      </c>
    </row>
    <row r="781" spans="1:4" x14ac:dyDescent="0.3">
      <c r="A781" t="s">
        <v>1462</v>
      </c>
      <c r="B781" t="s">
        <v>1463</v>
      </c>
      <c r="C781" t="s">
        <v>1573</v>
      </c>
      <c r="D781" t="s">
        <v>1574</v>
      </c>
    </row>
    <row r="782" spans="1:4" x14ac:dyDescent="0.3">
      <c r="A782" t="s">
        <v>1462</v>
      </c>
      <c r="B782" t="s">
        <v>1463</v>
      </c>
      <c r="C782" t="s">
        <v>1575</v>
      </c>
      <c r="D782" t="s">
        <v>1576</v>
      </c>
    </row>
    <row r="783" spans="1:4" x14ac:dyDescent="0.3">
      <c r="A783" t="s">
        <v>1462</v>
      </c>
      <c r="B783" t="s">
        <v>1463</v>
      </c>
      <c r="C783" t="s">
        <v>1577</v>
      </c>
      <c r="D783" t="s">
        <v>1578</v>
      </c>
    </row>
    <row r="784" spans="1:4" x14ac:dyDescent="0.3">
      <c r="A784" t="s">
        <v>1462</v>
      </c>
      <c r="B784" t="s">
        <v>1463</v>
      </c>
      <c r="C784" t="s">
        <v>1579</v>
      </c>
      <c r="D784" t="s">
        <v>1580</v>
      </c>
    </row>
    <row r="785" spans="1:4" x14ac:dyDescent="0.3">
      <c r="A785" t="s">
        <v>1462</v>
      </c>
      <c r="B785" t="s">
        <v>1463</v>
      </c>
      <c r="C785" t="s">
        <v>1581</v>
      </c>
      <c r="D785" t="s">
        <v>1582</v>
      </c>
    </row>
    <row r="786" spans="1:4" x14ac:dyDescent="0.3">
      <c r="A786" t="s">
        <v>1462</v>
      </c>
      <c r="B786" t="s">
        <v>1463</v>
      </c>
      <c r="C786" t="s">
        <v>1583</v>
      </c>
      <c r="D786" t="s">
        <v>1584</v>
      </c>
    </row>
    <row r="787" spans="1:4" x14ac:dyDescent="0.3">
      <c r="A787" t="s">
        <v>1462</v>
      </c>
      <c r="B787" t="s">
        <v>1463</v>
      </c>
      <c r="C787" t="s">
        <v>4141</v>
      </c>
      <c r="D787" t="s">
        <v>4142</v>
      </c>
    </row>
    <row r="788" spans="1:4" x14ac:dyDescent="0.3">
      <c r="A788" t="s">
        <v>1462</v>
      </c>
      <c r="B788" t="s">
        <v>1463</v>
      </c>
      <c r="C788" t="s">
        <v>1585</v>
      </c>
      <c r="D788" t="s">
        <v>1586</v>
      </c>
    </row>
    <row r="789" spans="1:4" x14ac:dyDescent="0.3">
      <c r="A789" t="s">
        <v>1462</v>
      </c>
      <c r="B789" t="s">
        <v>1463</v>
      </c>
      <c r="C789" t="s">
        <v>1587</v>
      </c>
      <c r="D789" t="s">
        <v>1588</v>
      </c>
    </row>
    <row r="790" spans="1:4" x14ac:dyDescent="0.3">
      <c r="A790" t="s">
        <v>1462</v>
      </c>
      <c r="B790" t="s">
        <v>1463</v>
      </c>
      <c r="C790" t="s">
        <v>1589</v>
      </c>
      <c r="D790" t="s">
        <v>1590</v>
      </c>
    </row>
    <row r="791" spans="1:4" x14ac:dyDescent="0.3">
      <c r="A791" t="s">
        <v>1462</v>
      </c>
      <c r="B791" t="s">
        <v>1463</v>
      </c>
      <c r="C791" t="s">
        <v>1591</v>
      </c>
      <c r="D791" t="s">
        <v>1592</v>
      </c>
    </row>
    <row r="792" spans="1:4" x14ac:dyDescent="0.3">
      <c r="A792" t="s">
        <v>1462</v>
      </c>
      <c r="B792" t="s">
        <v>1463</v>
      </c>
      <c r="C792" t="s">
        <v>1593</v>
      </c>
      <c r="D792" t="s">
        <v>1594</v>
      </c>
    </row>
    <row r="793" spans="1:4" x14ac:dyDescent="0.3">
      <c r="A793" t="s">
        <v>1462</v>
      </c>
      <c r="B793" t="s">
        <v>1463</v>
      </c>
      <c r="C793" t="s">
        <v>1595</v>
      </c>
      <c r="D793" t="s">
        <v>1596</v>
      </c>
    </row>
    <row r="794" spans="1:4" x14ac:dyDescent="0.3">
      <c r="A794" t="s">
        <v>1462</v>
      </c>
      <c r="B794" t="s">
        <v>1463</v>
      </c>
      <c r="C794" t="s">
        <v>1597</v>
      </c>
      <c r="D794" t="s">
        <v>1598</v>
      </c>
    </row>
    <row r="795" spans="1:4" x14ac:dyDescent="0.3">
      <c r="A795" t="s">
        <v>1462</v>
      </c>
      <c r="B795" t="s">
        <v>1463</v>
      </c>
      <c r="C795" t="s">
        <v>1599</v>
      </c>
      <c r="D795" t="s">
        <v>1600</v>
      </c>
    </row>
    <row r="796" spans="1:4" x14ac:dyDescent="0.3">
      <c r="A796" t="s">
        <v>1462</v>
      </c>
      <c r="B796" t="s">
        <v>1463</v>
      </c>
      <c r="C796" t="s">
        <v>1601</v>
      </c>
      <c r="D796" t="s">
        <v>1602</v>
      </c>
    </row>
    <row r="797" spans="1:4" x14ac:dyDescent="0.3">
      <c r="A797" t="s">
        <v>1462</v>
      </c>
      <c r="B797" t="s">
        <v>1463</v>
      </c>
      <c r="C797" t="s">
        <v>1603</v>
      </c>
      <c r="D797" t="s">
        <v>1604</v>
      </c>
    </row>
    <row r="798" spans="1:4" x14ac:dyDescent="0.3">
      <c r="A798" t="s">
        <v>1462</v>
      </c>
      <c r="B798" t="s">
        <v>1463</v>
      </c>
      <c r="C798" t="s">
        <v>1605</v>
      </c>
      <c r="D798" t="s">
        <v>1606</v>
      </c>
    </row>
    <row r="799" spans="1:4" x14ac:dyDescent="0.3">
      <c r="A799" t="s">
        <v>1462</v>
      </c>
      <c r="B799" t="s">
        <v>1463</v>
      </c>
      <c r="C799" t="s">
        <v>1607</v>
      </c>
      <c r="D799" t="s">
        <v>1608</v>
      </c>
    </row>
    <row r="800" spans="1:4" x14ac:dyDescent="0.3">
      <c r="A800" t="s">
        <v>1462</v>
      </c>
      <c r="B800" t="s">
        <v>1463</v>
      </c>
      <c r="C800" t="s">
        <v>1609</v>
      </c>
      <c r="D800" t="s">
        <v>1610</v>
      </c>
    </row>
    <row r="801" spans="1:4" x14ac:dyDescent="0.3">
      <c r="A801" t="s">
        <v>1462</v>
      </c>
      <c r="B801" t="s">
        <v>1463</v>
      </c>
      <c r="C801" t="s">
        <v>1611</v>
      </c>
      <c r="D801" t="s">
        <v>1612</v>
      </c>
    </row>
    <row r="802" spans="1:4" x14ac:dyDescent="0.3">
      <c r="A802" t="s">
        <v>1462</v>
      </c>
      <c r="B802" t="s">
        <v>1463</v>
      </c>
      <c r="C802" t="s">
        <v>1613</v>
      </c>
      <c r="D802" t="s">
        <v>1614</v>
      </c>
    </row>
    <row r="803" spans="1:4" x14ac:dyDescent="0.3">
      <c r="A803" t="s">
        <v>1462</v>
      </c>
      <c r="B803" t="s">
        <v>1463</v>
      </c>
      <c r="C803" t="s">
        <v>1615</v>
      </c>
      <c r="D803" t="s">
        <v>1616</v>
      </c>
    </row>
    <row r="804" spans="1:4" x14ac:dyDescent="0.3">
      <c r="A804" t="s">
        <v>1462</v>
      </c>
      <c r="B804" t="s">
        <v>1463</v>
      </c>
      <c r="C804" t="s">
        <v>1617</v>
      </c>
      <c r="D804" t="s">
        <v>1618</v>
      </c>
    </row>
    <row r="805" spans="1:4" x14ac:dyDescent="0.3">
      <c r="A805" t="s">
        <v>1462</v>
      </c>
      <c r="B805" t="s">
        <v>1463</v>
      </c>
      <c r="C805" t="s">
        <v>1619</v>
      </c>
      <c r="D805" t="s">
        <v>1620</v>
      </c>
    </row>
    <row r="806" spans="1:4" x14ac:dyDescent="0.3">
      <c r="A806" t="s">
        <v>1462</v>
      </c>
      <c r="B806" t="s">
        <v>1463</v>
      </c>
      <c r="C806" t="s">
        <v>1621</v>
      </c>
      <c r="D806" t="s">
        <v>1622</v>
      </c>
    </row>
    <row r="807" spans="1:4" x14ac:dyDescent="0.3">
      <c r="A807" t="s">
        <v>1462</v>
      </c>
      <c r="B807" t="s">
        <v>1463</v>
      </c>
      <c r="C807" t="s">
        <v>1623</v>
      </c>
      <c r="D807" t="s">
        <v>1624</v>
      </c>
    </row>
    <row r="808" spans="1:4" x14ac:dyDescent="0.3">
      <c r="A808" t="s">
        <v>1462</v>
      </c>
      <c r="B808" t="s">
        <v>1463</v>
      </c>
      <c r="C808" t="s">
        <v>1625</v>
      </c>
      <c r="D808" t="s">
        <v>1626</v>
      </c>
    </row>
    <row r="809" spans="1:4" x14ac:dyDescent="0.3">
      <c r="A809" t="s">
        <v>1462</v>
      </c>
      <c r="B809" t="s">
        <v>1463</v>
      </c>
      <c r="C809" t="s">
        <v>1627</v>
      </c>
      <c r="D809" t="s">
        <v>1628</v>
      </c>
    </row>
    <row r="810" spans="1:4" x14ac:dyDescent="0.3">
      <c r="A810" t="s">
        <v>1462</v>
      </c>
      <c r="B810" t="s">
        <v>1463</v>
      </c>
      <c r="C810" t="s">
        <v>1629</v>
      </c>
      <c r="D810" t="s">
        <v>1630</v>
      </c>
    </row>
    <row r="811" spans="1:4" x14ac:dyDescent="0.3">
      <c r="A811" t="s">
        <v>1462</v>
      </c>
      <c r="B811" t="s">
        <v>1463</v>
      </c>
      <c r="C811" t="s">
        <v>1631</v>
      </c>
      <c r="D811" t="s">
        <v>1632</v>
      </c>
    </row>
    <row r="812" spans="1:4" x14ac:dyDescent="0.3">
      <c r="A812" t="s">
        <v>1462</v>
      </c>
      <c r="B812" t="s">
        <v>1463</v>
      </c>
      <c r="C812" t="s">
        <v>1633</v>
      </c>
      <c r="D812" t="s">
        <v>1634</v>
      </c>
    </row>
    <row r="813" spans="1:4" x14ac:dyDescent="0.3">
      <c r="A813" t="s">
        <v>1462</v>
      </c>
      <c r="B813" t="s">
        <v>1463</v>
      </c>
      <c r="C813" t="s">
        <v>1635</v>
      </c>
      <c r="D813" t="s">
        <v>1636</v>
      </c>
    </row>
    <row r="814" spans="1:4" x14ac:dyDescent="0.3">
      <c r="A814" t="s">
        <v>1462</v>
      </c>
      <c r="B814" t="s">
        <v>1463</v>
      </c>
      <c r="C814" t="s">
        <v>1637</v>
      </c>
      <c r="D814" t="s">
        <v>1638</v>
      </c>
    </row>
    <row r="815" spans="1:4" x14ac:dyDescent="0.3">
      <c r="A815" t="s">
        <v>1462</v>
      </c>
      <c r="B815" t="s">
        <v>1463</v>
      </c>
      <c r="C815" t="s">
        <v>1639</v>
      </c>
      <c r="D815" t="s">
        <v>1640</v>
      </c>
    </row>
    <row r="816" spans="1:4" x14ac:dyDescent="0.3">
      <c r="A816" t="s">
        <v>1462</v>
      </c>
      <c r="B816" t="s">
        <v>1463</v>
      </c>
      <c r="C816" t="s">
        <v>1641</v>
      </c>
      <c r="D816" t="s">
        <v>1642</v>
      </c>
    </row>
    <row r="817" spans="1:4" x14ac:dyDescent="0.3">
      <c r="A817" t="s">
        <v>1462</v>
      </c>
      <c r="B817" t="s">
        <v>1463</v>
      </c>
      <c r="C817" t="s">
        <v>1643</v>
      </c>
      <c r="D817" t="s">
        <v>1644</v>
      </c>
    </row>
    <row r="818" spans="1:4" x14ac:dyDescent="0.3">
      <c r="A818" t="s">
        <v>1462</v>
      </c>
      <c r="B818" t="s">
        <v>1463</v>
      </c>
      <c r="C818" t="s">
        <v>1645</v>
      </c>
      <c r="D818" t="s">
        <v>1646</v>
      </c>
    </row>
    <row r="819" spans="1:4" x14ac:dyDescent="0.3">
      <c r="A819" t="s">
        <v>1462</v>
      </c>
      <c r="B819" t="s">
        <v>1463</v>
      </c>
      <c r="C819" t="s">
        <v>1647</v>
      </c>
      <c r="D819" t="s">
        <v>1648</v>
      </c>
    </row>
    <row r="820" spans="1:4" x14ac:dyDescent="0.3">
      <c r="A820" t="s">
        <v>1462</v>
      </c>
      <c r="B820" t="s">
        <v>1463</v>
      </c>
      <c r="C820" t="s">
        <v>1649</v>
      </c>
      <c r="D820" t="s">
        <v>1650</v>
      </c>
    </row>
    <row r="821" spans="1:4" x14ac:dyDescent="0.3">
      <c r="A821" t="s">
        <v>1462</v>
      </c>
      <c r="B821" t="s">
        <v>1463</v>
      </c>
      <c r="C821" t="s">
        <v>1651</v>
      </c>
      <c r="D821" t="s">
        <v>1652</v>
      </c>
    </row>
    <row r="822" spans="1:4" x14ac:dyDescent="0.3">
      <c r="A822" t="s">
        <v>1462</v>
      </c>
      <c r="B822" t="s">
        <v>1463</v>
      </c>
      <c r="C822" t="s">
        <v>1653</v>
      </c>
      <c r="D822" t="s">
        <v>1654</v>
      </c>
    </row>
    <row r="823" spans="1:4" x14ac:dyDescent="0.3">
      <c r="A823" t="s">
        <v>1462</v>
      </c>
      <c r="B823" t="s">
        <v>1463</v>
      </c>
      <c r="C823" t="s">
        <v>1655</v>
      </c>
      <c r="D823" t="s">
        <v>1656</v>
      </c>
    </row>
    <row r="824" spans="1:4" x14ac:dyDescent="0.3">
      <c r="A824" t="s">
        <v>1462</v>
      </c>
      <c r="B824" t="s">
        <v>1463</v>
      </c>
      <c r="C824" t="s">
        <v>1657</v>
      </c>
      <c r="D824" t="s">
        <v>1658</v>
      </c>
    </row>
    <row r="825" spans="1:4" x14ac:dyDescent="0.3">
      <c r="A825" t="s">
        <v>1462</v>
      </c>
      <c r="B825" t="s">
        <v>1463</v>
      </c>
      <c r="C825" t="s">
        <v>1659</v>
      </c>
      <c r="D825" t="s">
        <v>1660</v>
      </c>
    </row>
    <row r="826" spans="1:4" x14ac:dyDescent="0.3">
      <c r="A826" t="s">
        <v>1462</v>
      </c>
      <c r="B826" t="s">
        <v>1463</v>
      </c>
      <c r="C826" t="s">
        <v>1661</v>
      </c>
      <c r="D826" t="s">
        <v>1662</v>
      </c>
    </row>
    <row r="827" spans="1:4" x14ac:dyDescent="0.3">
      <c r="A827" t="s">
        <v>1462</v>
      </c>
      <c r="B827" t="s">
        <v>1463</v>
      </c>
      <c r="C827" t="s">
        <v>1663</v>
      </c>
      <c r="D827" t="s">
        <v>1664</v>
      </c>
    </row>
    <row r="828" spans="1:4" x14ac:dyDescent="0.3">
      <c r="A828" t="s">
        <v>1462</v>
      </c>
      <c r="B828" t="s">
        <v>1463</v>
      </c>
      <c r="C828" t="s">
        <v>1665</v>
      </c>
      <c r="D828" t="s">
        <v>1666</v>
      </c>
    </row>
    <row r="829" spans="1:4" x14ac:dyDescent="0.3">
      <c r="A829" t="s">
        <v>1462</v>
      </c>
      <c r="B829" t="s">
        <v>1463</v>
      </c>
      <c r="C829" t="s">
        <v>1667</v>
      </c>
      <c r="D829" t="s">
        <v>1668</v>
      </c>
    </row>
    <row r="830" spans="1:4" x14ac:dyDescent="0.3">
      <c r="A830" t="s">
        <v>1462</v>
      </c>
      <c r="B830" t="s">
        <v>1463</v>
      </c>
      <c r="C830" t="s">
        <v>1669</v>
      </c>
      <c r="D830" t="s">
        <v>1670</v>
      </c>
    </row>
    <row r="831" spans="1:4" x14ac:dyDescent="0.3">
      <c r="A831" t="s">
        <v>1462</v>
      </c>
      <c r="B831" t="s">
        <v>1463</v>
      </c>
      <c r="C831" t="s">
        <v>1671</v>
      </c>
      <c r="D831" t="s">
        <v>1672</v>
      </c>
    </row>
    <row r="832" spans="1:4" x14ac:dyDescent="0.3">
      <c r="A832" t="s">
        <v>1462</v>
      </c>
      <c r="B832" t="s">
        <v>1463</v>
      </c>
      <c r="C832" t="s">
        <v>1673</v>
      </c>
      <c r="D832" t="s">
        <v>1674</v>
      </c>
    </row>
    <row r="833" spans="1:4" x14ac:dyDescent="0.3">
      <c r="A833" t="s">
        <v>1462</v>
      </c>
      <c r="B833" t="s">
        <v>1463</v>
      </c>
      <c r="C833" t="s">
        <v>1675</v>
      </c>
      <c r="D833" t="s">
        <v>1676</v>
      </c>
    </row>
    <row r="834" spans="1:4" x14ac:dyDescent="0.3">
      <c r="A834" t="s">
        <v>1462</v>
      </c>
      <c r="B834" t="s">
        <v>1463</v>
      </c>
      <c r="C834" t="s">
        <v>1677</v>
      </c>
      <c r="D834" t="s">
        <v>1678</v>
      </c>
    </row>
    <row r="835" spans="1:4" x14ac:dyDescent="0.3">
      <c r="A835" t="s">
        <v>1462</v>
      </c>
      <c r="B835" t="s">
        <v>1463</v>
      </c>
      <c r="C835" t="s">
        <v>1679</v>
      </c>
      <c r="D835" t="s">
        <v>1680</v>
      </c>
    </row>
    <row r="836" spans="1:4" x14ac:dyDescent="0.3">
      <c r="A836" t="s">
        <v>1462</v>
      </c>
      <c r="B836" t="s">
        <v>1463</v>
      </c>
      <c r="C836" t="s">
        <v>1681</v>
      </c>
      <c r="D836" t="s">
        <v>1682</v>
      </c>
    </row>
    <row r="837" spans="1:4" x14ac:dyDescent="0.3">
      <c r="A837" t="s">
        <v>1462</v>
      </c>
      <c r="B837" t="s">
        <v>1463</v>
      </c>
      <c r="C837" t="s">
        <v>1683</v>
      </c>
      <c r="D837" t="s">
        <v>1684</v>
      </c>
    </row>
    <row r="838" spans="1:4" x14ac:dyDescent="0.3">
      <c r="A838" t="s">
        <v>1462</v>
      </c>
      <c r="B838" t="s">
        <v>1463</v>
      </c>
      <c r="C838" t="s">
        <v>1685</v>
      </c>
      <c r="D838" t="s">
        <v>1686</v>
      </c>
    </row>
    <row r="839" spans="1:4" x14ac:dyDescent="0.3">
      <c r="A839" t="s">
        <v>1462</v>
      </c>
      <c r="B839" t="s">
        <v>1463</v>
      </c>
      <c r="C839" t="s">
        <v>1687</v>
      </c>
      <c r="D839" t="s">
        <v>1688</v>
      </c>
    </row>
    <row r="840" spans="1:4" x14ac:dyDescent="0.3">
      <c r="A840" t="s">
        <v>1462</v>
      </c>
      <c r="B840" t="s">
        <v>1463</v>
      </c>
      <c r="C840" t="s">
        <v>1689</v>
      </c>
      <c r="D840" t="s">
        <v>802</v>
      </c>
    </row>
    <row r="841" spans="1:4" x14ac:dyDescent="0.3">
      <c r="A841" t="s">
        <v>1462</v>
      </c>
      <c r="B841" t="s">
        <v>1463</v>
      </c>
      <c r="C841" t="s">
        <v>1690</v>
      </c>
      <c r="D841" t="s">
        <v>1691</v>
      </c>
    </row>
    <row r="842" spans="1:4" x14ac:dyDescent="0.3">
      <c r="A842" t="s">
        <v>1462</v>
      </c>
      <c r="B842" t="s">
        <v>1463</v>
      </c>
      <c r="C842" t="s">
        <v>1692</v>
      </c>
      <c r="D842" t="s">
        <v>1693</v>
      </c>
    </row>
    <row r="843" spans="1:4" x14ac:dyDescent="0.3">
      <c r="A843" t="s">
        <v>1462</v>
      </c>
      <c r="B843" t="s">
        <v>1463</v>
      </c>
      <c r="C843" t="s">
        <v>1694</v>
      </c>
      <c r="D843" t="s">
        <v>1695</v>
      </c>
    </row>
    <row r="844" spans="1:4" x14ac:dyDescent="0.3">
      <c r="A844" t="s">
        <v>1462</v>
      </c>
      <c r="B844" t="s">
        <v>1463</v>
      </c>
      <c r="C844" t="s">
        <v>1696</v>
      </c>
      <c r="D844" t="s">
        <v>1697</v>
      </c>
    </row>
    <row r="845" spans="1:4" x14ac:dyDescent="0.3">
      <c r="A845" t="s">
        <v>1462</v>
      </c>
      <c r="B845" t="s">
        <v>1463</v>
      </c>
      <c r="C845" t="s">
        <v>1698</v>
      </c>
      <c r="D845" t="s">
        <v>1699</v>
      </c>
    </row>
    <row r="846" spans="1:4" x14ac:dyDescent="0.3">
      <c r="A846" t="s">
        <v>1462</v>
      </c>
      <c r="B846" t="s">
        <v>1463</v>
      </c>
      <c r="C846" t="s">
        <v>1700</v>
      </c>
      <c r="D846" t="s">
        <v>1701</v>
      </c>
    </row>
    <row r="847" spans="1:4" x14ac:dyDescent="0.3">
      <c r="A847" t="s">
        <v>1462</v>
      </c>
      <c r="B847" t="s">
        <v>1463</v>
      </c>
      <c r="C847" t="s">
        <v>1702</v>
      </c>
      <c r="D847" t="s">
        <v>1703</v>
      </c>
    </row>
    <row r="848" spans="1:4" x14ac:dyDescent="0.3">
      <c r="A848" t="s">
        <v>1462</v>
      </c>
      <c r="B848" t="s">
        <v>1463</v>
      </c>
      <c r="C848" t="s">
        <v>1704</v>
      </c>
      <c r="D848" t="s">
        <v>1705</v>
      </c>
    </row>
    <row r="849" spans="1:4" x14ac:dyDescent="0.3">
      <c r="A849" t="s">
        <v>1462</v>
      </c>
      <c r="B849" t="s">
        <v>1463</v>
      </c>
      <c r="C849" t="s">
        <v>1706</v>
      </c>
      <c r="D849" t="s">
        <v>1707</v>
      </c>
    </row>
    <row r="850" spans="1:4" x14ac:dyDescent="0.3">
      <c r="A850" t="s">
        <v>1462</v>
      </c>
      <c r="B850" t="s">
        <v>1463</v>
      </c>
      <c r="C850" t="s">
        <v>1708</v>
      </c>
      <c r="D850" t="s">
        <v>1709</v>
      </c>
    </row>
    <row r="851" spans="1:4" x14ac:dyDescent="0.3">
      <c r="A851" t="s">
        <v>1462</v>
      </c>
      <c r="B851" t="s">
        <v>1463</v>
      </c>
      <c r="C851" t="s">
        <v>1710</v>
      </c>
      <c r="D851" t="s">
        <v>1711</v>
      </c>
    </row>
    <row r="852" spans="1:4" x14ac:dyDescent="0.3">
      <c r="A852" t="s">
        <v>1462</v>
      </c>
      <c r="B852" t="s">
        <v>1463</v>
      </c>
      <c r="C852" t="s">
        <v>1712</v>
      </c>
      <c r="D852" t="s">
        <v>1713</v>
      </c>
    </row>
    <row r="853" spans="1:4" x14ac:dyDescent="0.3">
      <c r="A853" t="s">
        <v>1462</v>
      </c>
      <c r="B853" t="s">
        <v>1463</v>
      </c>
      <c r="C853" t="s">
        <v>1714</v>
      </c>
      <c r="D853" t="s">
        <v>1715</v>
      </c>
    </row>
    <row r="854" spans="1:4" x14ac:dyDescent="0.3">
      <c r="A854" t="s">
        <v>1462</v>
      </c>
      <c r="B854" t="s">
        <v>1463</v>
      </c>
      <c r="C854" t="s">
        <v>1716</v>
      </c>
      <c r="D854" t="s">
        <v>1717</v>
      </c>
    </row>
    <row r="855" spans="1:4" x14ac:dyDescent="0.3">
      <c r="A855" t="s">
        <v>1462</v>
      </c>
      <c r="B855" t="s">
        <v>1463</v>
      </c>
      <c r="C855" t="s">
        <v>1718</v>
      </c>
      <c r="D855" t="s">
        <v>1719</v>
      </c>
    </row>
    <row r="856" spans="1:4" x14ac:dyDescent="0.3">
      <c r="A856" t="s">
        <v>1462</v>
      </c>
      <c r="B856" t="s">
        <v>1463</v>
      </c>
      <c r="C856" t="s">
        <v>1720</v>
      </c>
      <c r="D856" t="s">
        <v>1721</v>
      </c>
    </row>
    <row r="857" spans="1:4" x14ac:dyDescent="0.3">
      <c r="A857" t="s">
        <v>1462</v>
      </c>
      <c r="B857" t="s">
        <v>1463</v>
      </c>
      <c r="C857" t="s">
        <v>1722</v>
      </c>
      <c r="D857" t="s">
        <v>1723</v>
      </c>
    </row>
    <row r="858" spans="1:4" x14ac:dyDescent="0.3">
      <c r="A858" t="s">
        <v>1462</v>
      </c>
      <c r="B858" t="s">
        <v>1463</v>
      </c>
      <c r="C858" t="s">
        <v>1724</v>
      </c>
      <c r="D858" t="s">
        <v>1725</v>
      </c>
    </row>
    <row r="859" spans="1:4" x14ac:dyDescent="0.3">
      <c r="A859" t="s">
        <v>1462</v>
      </c>
      <c r="B859" t="s">
        <v>1463</v>
      </c>
      <c r="C859" t="s">
        <v>1726</v>
      </c>
      <c r="D859" t="s">
        <v>1727</v>
      </c>
    </row>
    <row r="860" spans="1:4" x14ac:dyDescent="0.3">
      <c r="A860" t="s">
        <v>1462</v>
      </c>
      <c r="B860" t="s">
        <v>1463</v>
      </c>
      <c r="C860" t="s">
        <v>1728</v>
      </c>
      <c r="D860" t="s">
        <v>1729</v>
      </c>
    </row>
    <row r="861" spans="1:4" x14ac:dyDescent="0.3">
      <c r="A861" t="s">
        <v>1462</v>
      </c>
      <c r="B861" t="s">
        <v>1463</v>
      </c>
      <c r="C861" t="s">
        <v>1730</v>
      </c>
      <c r="D861" t="s">
        <v>1731</v>
      </c>
    </row>
    <row r="862" spans="1:4" x14ac:dyDescent="0.3">
      <c r="A862" t="s">
        <v>1462</v>
      </c>
      <c r="B862" t="s">
        <v>1463</v>
      </c>
      <c r="C862" t="s">
        <v>1732</v>
      </c>
      <c r="D862" t="s">
        <v>1733</v>
      </c>
    </row>
    <row r="863" spans="1:4" x14ac:dyDescent="0.3">
      <c r="A863" t="s">
        <v>1462</v>
      </c>
      <c r="B863" t="s">
        <v>1463</v>
      </c>
      <c r="C863" t="s">
        <v>1734</v>
      </c>
      <c r="D863" t="s">
        <v>1735</v>
      </c>
    </row>
    <row r="864" spans="1:4" x14ac:dyDescent="0.3">
      <c r="A864" t="s">
        <v>1462</v>
      </c>
      <c r="B864" t="s">
        <v>1463</v>
      </c>
      <c r="C864" t="s">
        <v>1736</v>
      </c>
      <c r="D864" t="s">
        <v>1737</v>
      </c>
    </row>
    <row r="865" spans="1:4" x14ac:dyDescent="0.3">
      <c r="A865" t="s">
        <v>1462</v>
      </c>
      <c r="B865" t="s">
        <v>1463</v>
      </c>
      <c r="C865" t="s">
        <v>1738</v>
      </c>
      <c r="D865" t="s">
        <v>1739</v>
      </c>
    </row>
    <row r="866" spans="1:4" x14ac:dyDescent="0.3">
      <c r="A866" t="s">
        <v>1462</v>
      </c>
      <c r="B866" t="s">
        <v>1463</v>
      </c>
      <c r="C866" t="s">
        <v>1740</v>
      </c>
      <c r="D866" t="s">
        <v>1741</v>
      </c>
    </row>
    <row r="867" spans="1:4" x14ac:dyDescent="0.3">
      <c r="A867" t="s">
        <v>1462</v>
      </c>
      <c r="B867" t="s">
        <v>1463</v>
      </c>
      <c r="C867" t="s">
        <v>1742</v>
      </c>
      <c r="D867" t="s">
        <v>1743</v>
      </c>
    </row>
    <row r="868" spans="1:4" x14ac:dyDescent="0.3">
      <c r="A868" t="s">
        <v>1462</v>
      </c>
      <c r="B868" t="s">
        <v>1463</v>
      </c>
      <c r="C868" t="s">
        <v>1744</v>
      </c>
      <c r="D868" t="s">
        <v>1745</v>
      </c>
    </row>
    <row r="869" spans="1:4" x14ac:dyDescent="0.3">
      <c r="A869" t="s">
        <v>1462</v>
      </c>
      <c r="B869" t="s">
        <v>1463</v>
      </c>
      <c r="C869" t="s">
        <v>1746</v>
      </c>
      <c r="D869" t="s">
        <v>1747</v>
      </c>
    </row>
    <row r="870" spans="1:4" x14ac:dyDescent="0.3">
      <c r="A870" t="s">
        <v>1462</v>
      </c>
      <c r="B870" t="s">
        <v>1463</v>
      </c>
      <c r="C870" t="s">
        <v>1748</v>
      </c>
      <c r="D870" t="s">
        <v>1749</v>
      </c>
    </row>
    <row r="871" spans="1:4" x14ac:dyDescent="0.3">
      <c r="A871" t="s">
        <v>1462</v>
      </c>
      <c r="B871" t="s">
        <v>1463</v>
      </c>
      <c r="C871" t="s">
        <v>1750</v>
      </c>
      <c r="D871" t="s">
        <v>1751</v>
      </c>
    </row>
    <row r="872" spans="1:4" x14ac:dyDescent="0.3">
      <c r="A872" t="s">
        <v>1462</v>
      </c>
      <c r="B872" t="s">
        <v>1463</v>
      </c>
      <c r="C872" t="s">
        <v>1752</v>
      </c>
      <c r="D872" t="s">
        <v>1753</v>
      </c>
    </row>
    <row r="873" spans="1:4" x14ac:dyDescent="0.3">
      <c r="A873" t="s">
        <v>1462</v>
      </c>
      <c r="B873" t="s">
        <v>1463</v>
      </c>
      <c r="C873" t="s">
        <v>1754</v>
      </c>
      <c r="D873" t="s">
        <v>1755</v>
      </c>
    </row>
    <row r="874" spans="1:4" x14ac:dyDescent="0.3">
      <c r="A874" t="s">
        <v>1462</v>
      </c>
      <c r="B874" t="s">
        <v>1463</v>
      </c>
      <c r="C874" t="s">
        <v>1756</v>
      </c>
      <c r="D874" t="s">
        <v>1757</v>
      </c>
    </row>
    <row r="875" spans="1:4" x14ac:dyDescent="0.3">
      <c r="A875" t="s">
        <v>1462</v>
      </c>
      <c r="B875" t="s">
        <v>1463</v>
      </c>
      <c r="C875" t="s">
        <v>1758</v>
      </c>
      <c r="D875" t="s">
        <v>1759</v>
      </c>
    </row>
    <row r="876" spans="1:4" x14ac:dyDescent="0.3">
      <c r="A876" t="s">
        <v>1462</v>
      </c>
      <c r="B876" t="s">
        <v>1463</v>
      </c>
      <c r="C876" t="s">
        <v>1760</v>
      </c>
      <c r="D876" t="s">
        <v>1761</v>
      </c>
    </row>
    <row r="877" spans="1:4" x14ac:dyDescent="0.3">
      <c r="A877" t="s">
        <v>1462</v>
      </c>
      <c r="B877" t="s">
        <v>1463</v>
      </c>
      <c r="C877" t="s">
        <v>1762</v>
      </c>
      <c r="D877" t="s">
        <v>1763</v>
      </c>
    </row>
    <row r="878" spans="1:4" x14ac:dyDescent="0.3">
      <c r="A878" t="s">
        <v>1462</v>
      </c>
      <c r="B878" t="s">
        <v>1463</v>
      </c>
      <c r="C878" t="s">
        <v>1764</v>
      </c>
      <c r="D878" t="s">
        <v>1765</v>
      </c>
    </row>
    <row r="879" spans="1:4" x14ac:dyDescent="0.3">
      <c r="A879" t="s">
        <v>1462</v>
      </c>
      <c r="B879" t="s">
        <v>1463</v>
      </c>
      <c r="C879" t="s">
        <v>1766</v>
      </c>
      <c r="D879" t="s">
        <v>1767</v>
      </c>
    </row>
    <row r="880" spans="1:4" x14ac:dyDescent="0.3">
      <c r="A880" t="s">
        <v>1462</v>
      </c>
      <c r="B880" t="s">
        <v>1463</v>
      </c>
      <c r="C880" t="s">
        <v>1768</v>
      </c>
      <c r="D880" t="s">
        <v>1769</v>
      </c>
    </row>
    <row r="881" spans="1:4" x14ac:dyDescent="0.3">
      <c r="A881" t="s">
        <v>1462</v>
      </c>
      <c r="B881" t="s">
        <v>1463</v>
      </c>
      <c r="C881" t="s">
        <v>1770</v>
      </c>
      <c r="D881" t="s">
        <v>1771</v>
      </c>
    </row>
    <row r="882" spans="1:4" x14ac:dyDescent="0.3">
      <c r="A882" t="s">
        <v>1462</v>
      </c>
      <c r="B882" t="s">
        <v>1463</v>
      </c>
      <c r="C882" t="s">
        <v>1772</v>
      </c>
      <c r="D882" t="s">
        <v>1773</v>
      </c>
    </row>
    <row r="883" spans="1:4" x14ac:dyDescent="0.3">
      <c r="A883" t="s">
        <v>1462</v>
      </c>
      <c r="B883" t="s">
        <v>1463</v>
      </c>
      <c r="C883" t="s">
        <v>1774</v>
      </c>
      <c r="D883" t="s">
        <v>1775</v>
      </c>
    </row>
    <row r="884" spans="1:4" x14ac:dyDescent="0.3">
      <c r="A884" t="s">
        <v>1462</v>
      </c>
      <c r="B884" t="s">
        <v>1463</v>
      </c>
      <c r="C884" t="s">
        <v>1776</v>
      </c>
      <c r="D884" t="s">
        <v>1777</v>
      </c>
    </row>
    <row r="885" spans="1:4" x14ac:dyDescent="0.3">
      <c r="A885" t="s">
        <v>1462</v>
      </c>
      <c r="B885" t="s">
        <v>1463</v>
      </c>
      <c r="C885" t="s">
        <v>1778</v>
      </c>
      <c r="D885" t="s">
        <v>1779</v>
      </c>
    </row>
    <row r="886" spans="1:4" x14ac:dyDescent="0.3">
      <c r="A886" t="s">
        <v>1462</v>
      </c>
      <c r="B886" t="s">
        <v>1463</v>
      </c>
      <c r="C886" t="s">
        <v>1780</v>
      </c>
      <c r="D886" t="s">
        <v>1781</v>
      </c>
    </row>
    <row r="887" spans="1:4" x14ac:dyDescent="0.3">
      <c r="A887" t="s">
        <v>1462</v>
      </c>
      <c r="B887" t="s">
        <v>1463</v>
      </c>
      <c r="C887" t="s">
        <v>1782</v>
      </c>
      <c r="D887" t="s">
        <v>1783</v>
      </c>
    </row>
    <row r="888" spans="1:4" x14ac:dyDescent="0.3">
      <c r="A888" t="s">
        <v>1462</v>
      </c>
      <c r="B888" t="s">
        <v>1463</v>
      </c>
      <c r="C888" t="s">
        <v>1784</v>
      </c>
      <c r="D888" t="s">
        <v>1785</v>
      </c>
    </row>
    <row r="889" spans="1:4" x14ac:dyDescent="0.3">
      <c r="A889" t="s">
        <v>1462</v>
      </c>
      <c r="B889" t="s">
        <v>1463</v>
      </c>
      <c r="C889" t="s">
        <v>1786</v>
      </c>
      <c r="D889" t="s">
        <v>1787</v>
      </c>
    </row>
    <row r="890" spans="1:4" x14ac:dyDescent="0.3">
      <c r="A890" t="s">
        <v>1462</v>
      </c>
      <c r="B890" t="s">
        <v>1463</v>
      </c>
      <c r="C890" t="s">
        <v>1788</v>
      </c>
      <c r="D890" t="s">
        <v>1789</v>
      </c>
    </row>
    <row r="891" spans="1:4" x14ac:dyDescent="0.3">
      <c r="A891" t="s">
        <v>1462</v>
      </c>
      <c r="B891" t="s">
        <v>1463</v>
      </c>
      <c r="C891" t="s">
        <v>1790</v>
      </c>
      <c r="D891" t="s">
        <v>1791</v>
      </c>
    </row>
    <row r="892" spans="1:4" x14ac:dyDescent="0.3">
      <c r="A892" t="s">
        <v>1462</v>
      </c>
      <c r="B892" t="s">
        <v>1463</v>
      </c>
      <c r="C892" t="s">
        <v>1793</v>
      </c>
      <c r="D892" t="s">
        <v>1794</v>
      </c>
    </row>
    <row r="893" spans="1:4" x14ac:dyDescent="0.3">
      <c r="A893" t="s">
        <v>1462</v>
      </c>
      <c r="B893" t="s">
        <v>1463</v>
      </c>
      <c r="C893" t="s">
        <v>1795</v>
      </c>
      <c r="D893" t="s">
        <v>1796</v>
      </c>
    </row>
    <row r="894" spans="1:4" x14ac:dyDescent="0.3">
      <c r="A894" t="s">
        <v>1462</v>
      </c>
      <c r="B894" t="s">
        <v>1463</v>
      </c>
      <c r="C894" t="s">
        <v>1797</v>
      </c>
      <c r="D894" t="s">
        <v>1798</v>
      </c>
    </row>
    <row r="895" spans="1:4" x14ac:dyDescent="0.3">
      <c r="A895" t="s">
        <v>1462</v>
      </c>
      <c r="B895" t="s">
        <v>1463</v>
      </c>
      <c r="C895" t="s">
        <v>1799</v>
      </c>
      <c r="D895" t="s">
        <v>1800</v>
      </c>
    </row>
    <row r="896" spans="1:4" x14ac:dyDescent="0.3">
      <c r="A896" t="s">
        <v>1462</v>
      </c>
      <c r="B896" t="s">
        <v>1463</v>
      </c>
      <c r="C896" t="s">
        <v>1801</v>
      </c>
      <c r="D896" t="s">
        <v>1802</v>
      </c>
    </row>
    <row r="897" spans="1:4" x14ac:dyDescent="0.3">
      <c r="A897" t="s">
        <v>1462</v>
      </c>
      <c r="B897" t="s">
        <v>1463</v>
      </c>
      <c r="C897" t="s">
        <v>1803</v>
      </c>
      <c r="D897" t="s">
        <v>1804</v>
      </c>
    </row>
    <row r="898" spans="1:4" x14ac:dyDescent="0.3">
      <c r="A898" t="s">
        <v>1462</v>
      </c>
      <c r="B898" t="s">
        <v>1463</v>
      </c>
      <c r="C898" t="s">
        <v>1805</v>
      </c>
      <c r="D898" t="s">
        <v>1806</v>
      </c>
    </row>
    <row r="899" spans="1:4" x14ac:dyDescent="0.3">
      <c r="A899" t="s">
        <v>1462</v>
      </c>
      <c r="B899" t="s">
        <v>1463</v>
      </c>
      <c r="C899" t="s">
        <v>1807</v>
      </c>
      <c r="D899" t="s">
        <v>1808</v>
      </c>
    </row>
    <row r="900" spans="1:4" x14ac:dyDescent="0.3">
      <c r="A900" t="s">
        <v>1462</v>
      </c>
      <c r="B900" t="s">
        <v>1463</v>
      </c>
      <c r="C900" t="s">
        <v>1810</v>
      </c>
      <c r="D900" t="s">
        <v>1811</v>
      </c>
    </row>
    <row r="901" spans="1:4" x14ac:dyDescent="0.3">
      <c r="A901" t="s">
        <v>1462</v>
      </c>
      <c r="B901" t="s">
        <v>1463</v>
      </c>
      <c r="C901" t="s">
        <v>1812</v>
      </c>
      <c r="D901" t="s">
        <v>1813</v>
      </c>
    </row>
    <row r="902" spans="1:4" x14ac:dyDescent="0.3">
      <c r="A902" t="s">
        <v>1462</v>
      </c>
      <c r="B902" t="s">
        <v>1463</v>
      </c>
      <c r="C902" t="s">
        <v>1814</v>
      </c>
      <c r="D902" t="s">
        <v>893</v>
      </c>
    </row>
    <row r="903" spans="1:4" x14ac:dyDescent="0.3">
      <c r="A903" t="s">
        <v>1462</v>
      </c>
      <c r="B903" t="s">
        <v>1463</v>
      </c>
      <c r="C903" t="s">
        <v>1815</v>
      </c>
      <c r="D903" t="s">
        <v>1816</v>
      </c>
    </row>
    <row r="904" spans="1:4" x14ac:dyDescent="0.3">
      <c r="A904" t="s">
        <v>1462</v>
      </c>
      <c r="B904" t="s">
        <v>1463</v>
      </c>
      <c r="C904" t="s">
        <v>1817</v>
      </c>
      <c r="D904" t="s">
        <v>905</v>
      </c>
    </row>
    <row r="905" spans="1:4" x14ac:dyDescent="0.3">
      <c r="A905" t="s">
        <v>1462</v>
      </c>
      <c r="B905" t="s">
        <v>1463</v>
      </c>
      <c r="C905" t="s">
        <v>1818</v>
      </c>
      <c r="D905" t="s">
        <v>1819</v>
      </c>
    </row>
    <row r="906" spans="1:4" x14ac:dyDescent="0.3">
      <c r="A906" t="s">
        <v>1462</v>
      </c>
      <c r="B906" t="s">
        <v>1463</v>
      </c>
      <c r="C906" t="s">
        <v>1820</v>
      </c>
      <c r="D906" t="s">
        <v>907</v>
      </c>
    </row>
    <row r="907" spans="1:4" x14ac:dyDescent="0.3">
      <c r="A907" t="s">
        <v>1462</v>
      </c>
      <c r="B907" t="s">
        <v>1463</v>
      </c>
      <c r="C907" t="s">
        <v>1821</v>
      </c>
      <c r="D907" t="s">
        <v>1822</v>
      </c>
    </row>
    <row r="908" spans="1:4" x14ac:dyDescent="0.3">
      <c r="A908" t="s">
        <v>1462</v>
      </c>
      <c r="B908" t="s">
        <v>1463</v>
      </c>
      <c r="C908" t="s">
        <v>1823</v>
      </c>
      <c r="D908" t="s">
        <v>1824</v>
      </c>
    </row>
    <row r="909" spans="1:4" x14ac:dyDescent="0.3">
      <c r="A909" t="s">
        <v>1462</v>
      </c>
      <c r="B909" t="s">
        <v>1463</v>
      </c>
      <c r="C909" t="s">
        <v>1825</v>
      </c>
      <c r="D909" t="s">
        <v>1826</v>
      </c>
    </row>
    <row r="910" spans="1:4" x14ac:dyDescent="0.3">
      <c r="A910" t="s">
        <v>1462</v>
      </c>
      <c r="B910" t="s">
        <v>1463</v>
      </c>
      <c r="C910" t="s">
        <v>1827</v>
      </c>
      <c r="D910" t="s">
        <v>1828</v>
      </c>
    </row>
    <row r="911" spans="1:4" x14ac:dyDescent="0.3">
      <c r="A911" t="s">
        <v>1462</v>
      </c>
      <c r="B911" t="s">
        <v>1463</v>
      </c>
      <c r="C911" t="s">
        <v>1829</v>
      </c>
      <c r="D911" t="s">
        <v>1830</v>
      </c>
    </row>
    <row r="912" spans="1:4" x14ac:dyDescent="0.3">
      <c r="A912" t="s">
        <v>1462</v>
      </c>
      <c r="B912" t="s">
        <v>1463</v>
      </c>
      <c r="C912" t="s">
        <v>1831</v>
      </c>
      <c r="D912" t="s">
        <v>1832</v>
      </c>
    </row>
    <row r="913" spans="1:4" x14ac:dyDescent="0.3">
      <c r="A913" t="s">
        <v>1462</v>
      </c>
      <c r="B913" t="s">
        <v>1463</v>
      </c>
      <c r="C913" t="s">
        <v>1833</v>
      </c>
      <c r="D913" t="s">
        <v>1834</v>
      </c>
    </row>
    <row r="914" spans="1:4" x14ac:dyDescent="0.3">
      <c r="A914" t="s">
        <v>1462</v>
      </c>
      <c r="B914" t="s">
        <v>1463</v>
      </c>
      <c r="C914" t="s">
        <v>1835</v>
      </c>
      <c r="D914" t="s">
        <v>1836</v>
      </c>
    </row>
    <row r="915" spans="1:4" x14ac:dyDescent="0.3">
      <c r="A915" t="s">
        <v>1462</v>
      </c>
      <c r="B915" t="s">
        <v>1463</v>
      </c>
      <c r="C915" t="s">
        <v>1837</v>
      </c>
      <c r="D915" t="s">
        <v>1838</v>
      </c>
    </row>
    <row r="916" spans="1:4" x14ac:dyDescent="0.3">
      <c r="A916" t="s">
        <v>1462</v>
      </c>
      <c r="B916" t="s">
        <v>1463</v>
      </c>
      <c r="C916" t="s">
        <v>1839</v>
      </c>
      <c r="D916" t="s">
        <v>1840</v>
      </c>
    </row>
    <row r="917" spans="1:4" x14ac:dyDescent="0.3">
      <c r="A917" t="s">
        <v>1462</v>
      </c>
      <c r="B917" t="s">
        <v>1463</v>
      </c>
      <c r="C917" t="s">
        <v>1841</v>
      </c>
      <c r="D917" t="s">
        <v>1842</v>
      </c>
    </row>
    <row r="918" spans="1:4" x14ac:dyDescent="0.3">
      <c r="A918" t="s">
        <v>1462</v>
      </c>
      <c r="B918" t="s">
        <v>1463</v>
      </c>
      <c r="C918" t="s">
        <v>1843</v>
      </c>
      <c r="D918" t="s">
        <v>151</v>
      </c>
    </row>
    <row r="919" spans="1:4" x14ac:dyDescent="0.3">
      <c r="A919" t="s">
        <v>1462</v>
      </c>
      <c r="B919" t="s">
        <v>1463</v>
      </c>
      <c r="C919" t="s">
        <v>1844</v>
      </c>
      <c r="D919" t="s">
        <v>1845</v>
      </c>
    </row>
    <row r="920" spans="1:4" x14ac:dyDescent="0.3">
      <c r="A920" t="s">
        <v>1462</v>
      </c>
      <c r="B920" t="s">
        <v>1463</v>
      </c>
      <c r="C920" t="s">
        <v>1846</v>
      </c>
      <c r="D920" t="s">
        <v>1847</v>
      </c>
    </row>
    <row r="921" spans="1:4" x14ac:dyDescent="0.3">
      <c r="A921" t="s">
        <v>1462</v>
      </c>
      <c r="B921" t="s">
        <v>1463</v>
      </c>
      <c r="C921" t="s">
        <v>1848</v>
      </c>
      <c r="D921" t="s">
        <v>1849</v>
      </c>
    </row>
    <row r="922" spans="1:4" x14ac:dyDescent="0.3">
      <c r="A922" t="s">
        <v>1462</v>
      </c>
      <c r="B922" t="s">
        <v>1463</v>
      </c>
      <c r="C922" t="s">
        <v>1850</v>
      </c>
      <c r="D922" t="s">
        <v>1851</v>
      </c>
    </row>
    <row r="923" spans="1:4" x14ac:dyDescent="0.3">
      <c r="A923" t="s">
        <v>1462</v>
      </c>
      <c r="B923" t="s">
        <v>1463</v>
      </c>
      <c r="C923" t="s">
        <v>1852</v>
      </c>
      <c r="D923" t="s">
        <v>1853</v>
      </c>
    </row>
    <row r="924" spans="1:4" x14ac:dyDescent="0.3">
      <c r="A924" t="s">
        <v>1462</v>
      </c>
      <c r="B924" t="s">
        <v>1463</v>
      </c>
      <c r="C924" t="s">
        <v>1854</v>
      </c>
      <c r="D924" t="s">
        <v>1855</v>
      </c>
    </row>
    <row r="925" spans="1:4" x14ac:dyDescent="0.3">
      <c r="A925" t="s">
        <v>1462</v>
      </c>
      <c r="B925" t="s">
        <v>1463</v>
      </c>
      <c r="C925" t="s">
        <v>1856</v>
      </c>
      <c r="D925" t="s">
        <v>1857</v>
      </c>
    </row>
    <row r="926" spans="1:4" x14ac:dyDescent="0.3">
      <c r="A926" t="s">
        <v>1462</v>
      </c>
      <c r="B926" t="s">
        <v>1463</v>
      </c>
      <c r="C926" t="s">
        <v>1858</v>
      </c>
      <c r="D926" t="s">
        <v>1859</v>
      </c>
    </row>
    <row r="927" spans="1:4" x14ac:dyDescent="0.3">
      <c r="A927" t="s">
        <v>1462</v>
      </c>
      <c r="B927" t="s">
        <v>1463</v>
      </c>
      <c r="C927" t="s">
        <v>1860</v>
      </c>
      <c r="D927" t="s">
        <v>1861</v>
      </c>
    </row>
    <row r="928" spans="1:4" x14ac:dyDescent="0.3">
      <c r="A928" t="s">
        <v>1462</v>
      </c>
      <c r="B928" t="s">
        <v>1463</v>
      </c>
      <c r="C928" t="s">
        <v>1862</v>
      </c>
      <c r="D928" t="s">
        <v>1863</v>
      </c>
    </row>
    <row r="929" spans="1:4" x14ac:dyDescent="0.3">
      <c r="A929" t="s">
        <v>1462</v>
      </c>
      <c r="B929" t="s">
        <v>1463</v>
      </c>
      <c r="C929" t="s">
        <v>1864</v>
      </c>
      <c r="D929" t="s">
        <v>1865</v>
      </c>
    </row>
    <row r="930" spans="1:4" x14ac:dyDescent="0.3">
      <c r="A930" t="s">
        <v>1462</v>
      </c>
      <c r="B930" t="s">
        <v>1463</v>
      </c>
      <c r="C930" t="s">
        <v>1866</v>
      </c>
      <c r="D930" t="s">
        <v>1867</v>
      </c>
    </row>
    <row r="931" spans="1:4" x14ac:dyDescent="0.3">
      <c r="A931" t="s">
        <v>1462</v>
      </c>
      <c r="B931" t="s">
        <v>1463</v>
      </c>
      <c r="C931" t="s">
        <v>1868</v>
      </c>
      <c r="D931" t="s">
        <v>1869</v>
      </c>
    </row>
    <row r="932" spans="1:4" x14ac:dyDescent="0.3">
      <c r="A932" t="s">
        <v>1462</v>
      </c>
      <c r="B932" t="s">
        <v>1463</v>
      </c>
      <c r="C932" t="s">
        <v>1870</v>
      </c>
      <c r="D932" t="s">
        <v>979</v>
      </c>
    </row>
    <row r="933" spans="1:4" x14ac:dyDescent="0.3">
      <c r="A933" t="s">
        <v>1462</v>
      </c>
      <c r="B933" t="s">
        <v>1463</v>
      </c>
      <c r="C933" t="s">
        <v>1871</v>
      </c>
      <c r="D933" t="s">
        <v>1872</v>
      </c>
    </row>
    <row r="934" spans="1:4" x14ac:dyDescent="0.3">
      <c r="A934" t="s">
        <v>1462</v>
      </c>
      <c r="B934" t="s">
        <v>1463</v>
      </c>
      <c r="C934" t="s">
        <v>1873</v>
      </c>
      <c r="D934" t="s">
        <v>1874</v>
      </c>
    </row>
    <row r="935" spans="1:4" x14ac:dyDescent="0.3">
      <c r="A935" t="s">
        <v>1462</v>
      </c>
      <c r="B935" t="s">
        <v>1463</v>
      </c>
      <c r="C935" t="s">
        <v>1875</v>
      </c>
      <c r="D935" t="s">
        <v>1876</v>
      </c>
    </row>
    <row r="936" spans="1:4" x14ac:dyDescent="0.3">
      <c r="A936" t="s">
        <v>1462</v>
      </c>
      <c r="B936" t="s">
        <v>1463</v>
      </c>
      <c r="C936" t="s">
        <v>1877</v>
      </c>
      <c r="D936" t="s">
        <v>1878</v>
      </c>
    </row>
    <row r="937" spans="1:4" x14ac:dyDescent="0.3">
      <c r="A937" t="s">
        <v>1462</v>
      </c>
      <c r="B937" t="s">
        <v>1463</v>
      </c>
      <c r="C937" t="s">
        <v>1879</v>
      </c>
      <c r="D937" t="s">
        <v>1880</v>
      </c>
    </row>
    <row r="938" spans="1:4" x14ac:dyDescent="0.3">
      <c r="A938" t="s">
        <v>1462</v>
      </c>
      <c r="B938" t="s">
        <v>1463</v>
      </c>
      <c r="C938" t="s">
        <v>1881</v>
      </c>
      <c r="D938" t="s">
        <v>1882</v>
      </c>
    </row>
    <row r="939" spans="1:4" x14ac:dyDescent="0.3">
      <c r="A939" t="s">
        <v>1462</v>
      </c>
      <c r="B939" t="s">
        <v>1463</v>
      </c>
      <c r="C939" t="s">
        <v>1883</v>
      </c>
      <c r="D939" t="s">
        <v>1884</v>
      </c>
    </row>
    <row r="940" spans="1:4" x14ac:dyDescent="0.3">
      <c r="A940" t="s">
        <v>1462</v>
      </c>
      <c r="B940" t="s">
        <v>1463</v>
      </c>
      <c r="C940" t="s">
        <v>1885</v>
      </c>
      <c r="D940" t="s">
        <v>1886</v>
      </c>
    </row>
    <row r="941" spans="1:4" x14ac:dyDescent="0.3">
      <c r="A941" t="s">
        <v>1462</v>
      </c>
      <c r="B941" t="s">
        <v>1463</v>
      </c>
      <c r="C941" t="s">
        <v>1887</v>
      </c>
      <c r="D941" t="s">
        <v>1888</v>
      </c>
    </row>
    <row r="942" spans="1:4" x14ac:dyDescent="0.3">
      <c r="A942" t="s">
        <v>1462</v>
      </c>
      <c r="B942" t="s">
        <v>1463</v>
      </c>
      <c r="C942" t="s">
        <v>1889</v>
      </c>
      <c r="D942" t="s">
        <v>1890</v>
      </c>
    </row>
    <row r="943" spans="1:4" x14ac:dyDescent="0.3">
      <c r="A943" t="s">
        <v>1462</v>
      </c>
      <c r="B943" t="s">
        <v>1463</v>
      </c>
      <c r="C943" t="s">
        <v>1891</v>
      </c>
      <c r="D943" t="s">
        <v>1892</v>
      </c>
    </row>
    <row r="944" spans="1:4" x14ac:dyDescent="0.3">
      <c r="A944" t="s">
        <v>1462</v>
      </c>
      <c r="B944" t="s">
        <v>1463</v>
      </c>
      <c r="C944" t="s">
        <v>1893</v>
      </c>
      <c r="D944" t="s">
        <v>1143</v>
      </c>
    </row>
    <row r="945" spans="1:4" x14ac:dyDescent="0.3">
      <c r="A945" t="s">
        <v>1462</v>
      </c>
      <c r="B945" t="s">
        <v>1463</v>
      </c>
      <c r="C945" t="s">
        <v>1894</v>
      </c>
      <c r="D945" t="s">
        <v>1895</v>
      </c>
    </row>
    <row r="946" spans="1:4" x14ac:dyDescent="0.3">
      <c r="A946" t="s">
        <v>1462</v>
      </c>
      <c r="B946" t="s">
        <v>1463</v>
      </c>
      <c r="C946" t="s">
        <v>1896</v>
      </c>
      <c r="D946" t="s">
        <v>1897</v>
      </c>
    </row>
    <row r="947" spans="1:4" x14ac:dyDescent="0.3">
      <c r="A947" t="s">
        <v>1462</v>
      </c>
      <c r="B947" t="s">
        <v>1463</v>
      </c>
      <c r="C947" t="s">
        <v>1792</v>
      </c>
      <c r="D947" t="s">
        <v>4143</v>
      </c>
    </row>
    <row r="948" spans="1:4" x14ac:dyDescent="0.3">
      <c r="A948" t="s">
        <v>1462</v>
      </c>
      <c r="B948" t="s">
        <v>1463</v>
      </c>
      <c r="C948" t="s">
        <v>1898</v>
      </c>
      <c r="D948" t="s">
        <v>1899</v>
      </c>
    </row>
    <row r="949" spans="1:4" x14ac:dyDescent="0.3">
      <c r="A949" t="s">
        <v>1462</v>
      </c>
      <c r="B949" t="s">
        <v>1463</v>
      </c>
      <c r="C949" t="s">
        <v>1900</v>
      </c>
      <c r="D949" t="s">
        <v>1901</v>
      </c>
    </row>
    <row r="950" spans="1:4" x14ac:dyDescent="0.3">
      <c r="A950" t="s">
        <v>1462</v>
      </c>
      <c r="B950" t="s">
        <v>1463</v>
      </c>
      <c r="C950" t="s">
        <v>1902</v>
      </c>
      <c r="D950" t="s">
        <v>1903</v>
      </c>
    </row>
    <row r="951" spans="1:4" x14ac:dyDescent="0.3">
      <c r="A951" t="s">
        <v>1462</v>
      </c>
      <c r="B951" t="s">
        <v>1463</v>
      </c>
      <c r="C951" t="s">
        <v>1904</v>
      </c>
      <c r="D951" t="s">
        <v>1905</v>
      </c>
    </row>
    <row r="952" spans="1:4" x14ac:dyDescent="0.3">
      <c r="A952" t="s">
        <v>1462</v>
      </c>
      <c r="B952" t="s">
        <v>1463</v>
      </c>
      <c r="C952" t="s">
        <v>1906</v>
      </c>
      <c r="D952" t="s">
        <v>1907</v>
      </c>
    </row>
    <row r="953" spans="1:4" x14ac:dyDescent="0.3">
      <c r="A953" t="s">
        <v>1908</v>
      </c>
      <c r="B953" t="s">
        <v>1909</v>
      </c>
      <c r="C953" t="s">
        <v>1910</v>
      </c>
      <c r="D953" t="s">
        <v>1911</v>
      </c>
    </row>
    <row r="954" spans="1:4" x14ac:dyDescent="0.3">
      <c r="A954" t="s">
        <v>1908</v>
      </c>
      <c r="B954" t="s">
        <v>1909</v>
      </c>
      <c r="C954" t="s">
        <v>1912</v>
      </c>
      <c r="D954" t="s">
        <v>1913</v>
      </c>
    </row>
    <row r="955" spans="1:4" x14ac:dyDescent="0.3">
      <c r="A955" t="s">
        <v>1908</v>
      </c>
      <c r="B955" t="s">
        <v>1909</v>
      </c>
      <c r="C955" t="s">
        <v>1914</v>
      </c>
      <c r="D955" t="s">
        <v>1915</v>
      </c>
    </row>
    <row r="956" spans="1:4" x14ac:dyDescent="0.3">
      <c r="A956" t="s">
        <v>1908</v>
      </c>
      <c r="B956" t="s">
        <v>1909</v>
      </c>
      <c r="C956" t="s">
        <v>1916</v>
      </c>
      <c r="D956" t="s">
        <v>1917</v>
      </c>
    </row>
    <row r="957" spans="1:4" x14ac:dyDescent="0.3">
      <c r="A957" t="s">
        <v>1908</v>
      </c>
      <c r="B957" t="s">
        <v>1909</v>
      </c>
      <c r="C957" t="s">
        <v>1918</v>
      </c>
      <c r="D957" t="s">
        <v>1919</v>
      </c>
    </row>
    <row r="958" spans="1:4" x14ac:dyDescent="0.3">
      <c r="A958" t="s">
        <v>1908</v>
      </c>
      <c r="B958" t="s">
        <v>1909</v>
      </c>
      <c r="C958" t="s">
        <v>1920</v>
      </c>
      <c r="D958" t="s">
        <v>1921</v>
      </c>
    </row>
    <row r="959" spans="1:4" x14ac:dyDescent="0.3">
      <c r="A959" t="s">
        <v>1908</v>
      </c>
      <c r="B959" t="s">
        <v>1909</v>
      </c>
      <c r="C959" t="s">
        <v>1922</v>
      </c>
      <c r="D959" t="s">
        <v>1923</v>
      </c>
    </row>
    <row r="960" spans="1:4" x14ac:dyDescent="0.3">
      <c r="A960" t="s">
        <v>1908</v>
      </c>
      <c r="B960" t="s">
        <v>1909</v>
      </c>
      <c r="C960" t="s">
        <v>1924</v>
      </c>
      <c r="D960" t="s">
        <v>1925</v>
      </c>
    </row>
    <row r="961" spans="1:4" x14ac:dyDescent="0.3">
      <c r="A961" t="s">
        <v>1908</v>
      </c>
      <c r="B961" t="s">
        <v>1909</v>
      </c>
      <c r="C961" t="s">
        <v>1926</v>
      </c>
      <c r="D961" t="s">
        <v>1927</v>
      </c>
    </row>
    <row r="962" spans="1:4" x14ac:dyDescent="0.3">
      <c r="A962" t="s">
        <v>1908</v>
      </c>
      <c r="B962" t="s">
        <v>1909</v>
      </c>
      <c r="C962" t="s">
        <v>4228</v>
      </c>
      <c r="D962" t="s">
        <v>4278</v>
      </c>
    </row>
    <row r="963" spans="1:4" x14ac:dyDescent="0.3">
      <c r="A963" t="s">
        <v>1908</v>
      </c>
      <c r="B963" t="s">
        <v>1909</v>
      </c>
      <c r="C963" t="s">
        <v>1928</v>
      </c>
      <c r="D963" t="s">
        <v>1929</v>
      </c>
    </row>
    <row r="964" spans="1:4" x14ac:dyDescent="0.3">
      <c r="A964" t="s">
        <v>1908</v>
      </c>
      <c r="B964" t="s">
        <v>1909</v>
      </c>
      <c r="C964" t="s">
        <v>4227</v>
      </c>
      <c r="D964" t="s">
        <v>4218</v>
      </c>
    </row>
    <row r="965" spans="1:4" x14ac:dyDescent="0.3">
      <c r="A965" t="s">
        <v>1908</v>
      </c>
      <c r="B965" t="s">
        <v>1909</v>
      </c>
      <c r="C965" t="s">
        <v>1930</v>
      </c>
      <c r="D965" t="s">
        <v>1931</v>
      </c>
    </row>
    <row r="966" spans="1:4" x14ac:dyDescent="0.3">
      <c r="A966" t="s">
        <v>1908</v>
      </c>
      <c r="B966" t="s">
        <v>1909</v>
      </c>
      <c r="C966" t="s">
        <v>1932</v>
      </c>
      <c r="D966" t="s">
        <v>1933</v>
      </c>
    </row>
    <row r="967" spans="1:4" x14ac:dyDescent="0.3">
      <c r="A967" t="s">
        <v>1908</v>
      </c>
      <c r="B967" t="s">
        <v>1909</v>
      </c>
      <c r="C967" t="s">
        <v>1934</v>
      </c>
      <c r="D967" t="s">
        <v>1935</v>
      </c>
    </row>
    <row r="968" spans="1:4" x14ac:dyDescent="0.3">
      <c r="A968" t="s">
        <v>1908</v>
      </c>
      <c r="B968" t="s">
        <v>1909</v>
      </c>
      <c r="C968" t="s">
        <v>1936</v>
      </c>
      <c r="D968" t="s">
        <v>1937</v>
      </c>
    </row>
    <row r="969" spans="1:4" x14ac:dyDescent="0.3">
      <c r="A969" t="s">
        <v>1908</v>
      </c>
      <c r="B969" t="s">
        <v>1909</v>
      </c>
      <c r="C969" t="s">
        <v>1938</v>
      </c>
      <c r="D969" t="s">
        <v>1939</v>
      </c>
    </row>
    <row r="970" spans="1:4" x14ac:dyDescent="0.3">
      <c r="A970" t="s">
        <v>1908</v>
      </c>
      <c r="B970" t="s">
        <v>1909</v>
      </c>
      <c r="C970" t="s">
        <v>1940</v>
      </c>
      <c r="D970" t="s">
        <v>1941</v>
      </c>
    </row>
    <row r="971" spans="1:4" x14ac:dyDescent="0.3">
      <c r="A971" t="s">
        <v>1908</v>
      </c>
      <c r="B971" t="s">
        <v>1909</v>
      </c>
      <c r="C971" t="s">
        <v>1942</v>
      </c>
      <c r="D971" t="s">
        <v>1943</v>
      </c>
    </row>
    <row r="972" spans="1:4" x14ac:dyDescent="0.3">
      <c r="A972" t="s">
        <v>1908</v>
      </c>
      <c r="B972" t="s">
        <v>1909</v>
      </c>
      <c r="C972" t="s">
        <v>1944</v>
      </c>
      <c r="D972" t="s">
        <v>1945</v>
      </c>
    </row>
    <row r="973" spans="1:4" x14ac:dyDescent="0.3">
      <c r="A973" t="s">
        <v>299</v>
      </c>
      <c r="B973" t="s">
        <v>1946</v>
      </c>
      <c r="C973" t="s">
        <v>1947</v>
      </c>
      <c r="D973" t="s">
        <v>1948</v>
      </c>
    </row>
    <row r="974" spans="1:4" x14ac:dyDescent="0.3">
      <c r="A974" t="s">
        <v>299</v>
      </c>
      <c r="B974" t="s">
        <v>1946</v>
      </c>
      <c r="C974" t="s">
        <v>1962</v>
      </c>
      <c r="D974" t="s">
        <v>4144</v>
      </c>
    </row>
    <row r="975" spans="1:4" x14ac:dyDescent="0.3">
      <c r="A975" t="s">
        <v>299</v>
      </c>
      <c r="B975" t="s">
        <v>1946</v>
      </c>
      <c r="C975" t="s">
        <v>1949</v>
      </c>
      <c r="D975" t="s">
        <v>1950</v>
      </c>
    </row>
    <row r="976" spans="1:4" x14ac:dyDescent="0.3">
      <c r="A976" t="s">
        <v>299</v>
      </c>
      <c r="B976" t="s">
        <v>1946</v>
      </c>
      <c r="C976" t="s">
        <v>1951</v>
      </c>
      <c r="D976" t="s">
        <v>1952</v>
      </c>
    </row>
    <row r="977" spans="1:4" x14ac:dyDescent="0.3">
      <c r="A977" t="s">
        <v>299</v>
      </c>
      <c r="B977" t="s">
        <v>1946</v>
      </c>
      <c r="C977" t="s">
        <v>1953</v>
      </c>
      <c r="D977" t="s">
        <v>583</v>
      </c>
    </row>
    <row r="978" spans="1:4" x14ac:dyDescent="0.3">
      <c r="A978" t="s">
        <v>299</v>
      </c>
      <c r="B978" t="s">
        <v>1946</v>
      </c>
      <c r="C978" t="s">
        <v>1954</v>
      </c>
      <c r="D978" t="s">
        <v>1955</v>
      </c>
    </row>
    <row r="979" spans="1:4" x14ac:dyDescent="0.3">
      <c r="A979" t="s">
        <v>299</v>
      </c>
      <c r="B979" t="s">
        <v>1946</v>
      </c>
      <c r="C979" t="s">
        <v>4279</v>
      </c>
      <c r="D979" t="s">
        <v>4280</v>
      </c>
    </row>
    <row r="980" spans="1:4" x14ac:dyDescent="0.3">
      <c r="A980" t="s">
        <v>299</v>
      </c>
      <c r="B980" t="s">
        <v>1946</v>
      </c>
      <c r="C980" t="s">
        <v>1956</v>
      </c>
      <c r="D980" t="s">
        <v>1957</v>
      </c>
    </row>
    <row r="981" spans="1:4" x14ac:dyDescent="0.3">
      <c r="A981" t="s">
        <v>299</v>
      </c>
      <c r="B981" t="s">
        <v>1946</v>
      </c>
      <c r="C981" t="s">
        <v>1958</v>
      </c>
      <c r="D981" t="s">
        <v>1959</v>
      </c>
    </row>
    <row r="982" spans="1:4" x14ac:dyDescent="0.3">
      <c r="A982" t="s">
        <v>299</v>
      </c>
      <c r="B982" t="s">
        <v>1946</v>
      </c>
      <c r="C982" t="s">
        <v>1960</v>
      </c>
      <c r="D982" t="s">
        <v>1961</v>
      </c>
    </row>
    <row r="983" spans="1:4" x14ac:dyDescent="0.3">
      <c r="A983" t="s">
        <v>299</v>
      </c>
      <c r="B983" t="s">
        <v>1946</v>
      </c>
      <c r="C983" t="s">
        <v>1963</v>
      </c>
      <c r="D983" t="s">
        <v>1964</v>
      </c>
    </row>
    <row r="984" spans="1:4" x14ac:dyDescent="0.3">
      <c r="A984" t="s">
        <v>299</v>
      </c>
      <c r="B984" t="s">
        <v>1946</v>
      </c>
      <c r="C984" t="s">
        <v>1965</v>
      </c>
      <c r="D984" t="s">
        <v>1966</v>
      </c>
    </row>
    <row r="985" spans="1:4" x14ac:dyDescent="0.3">
      <c r="A985" t="s">
        <v>299</v>
      </c>
      <c r="B985" t="s">
        <v>1946</v>
      </c>
      <c r="C985" t="s">
        <v>1967</v>
      </c>
      <c r="D985" t="s">
        <v>1968</v>
      </c>
    </row>
    <row r="986" spans="1:4" x14ac:dyDescent="0.3">
      <c r="A986" t="s">
        <v>299</v>
      </c>
      <c r="B986" t="s">
        <v>1946</v>
      </c>
      <c r="C986" t="s">
        <v>1969</v>
      </c>
      <c r="D986" t="s">
        <v>1970</v>
      </c>
    </row>
    <row r="987" spans="1:4" x14ac:dyDescent="0.3">
      <c r="A987" t="s">
        <v>299</v>
      </c>
      <c r="B987" t="s">
        <v>1946</v>
      </c>
      <c r="C987" t="s">
        <v>1971</v>
      </c>
      <c r="D987" t="s">
        <v>1972</v>
      </c>
    </row>
    <row r="988" spans="1:4" x14ac:dyDescent="0.3">
      <c r="A988" t="s">
        <v>299</v>
      </c>
      <c r="B988" t="s">
        <v>1946</v>
      </c>
      <c r="C988" t="s">
        <v>1973</v>
      </c>
      <c r="D988" t="s">
        <v>1974</v>
      </c>
    </row>
    <row r="989" spans="1:4" x14ac:dyDescent="0.3">
      <c r="A989" t="s">
        <v>299</v>
      </c>
      <c r="B989" t="s">
        <v>1946</v>
      </c>
      <c r="C989" t="s">
        <v>4232</v>
      </c>
      <c r="D989" t="s">
        <v>4220</v>
      </c>
    </row>
    <row r="990" spans="1:4" x14ac:dyDescent="0.3">
      <c r="A990" t="s">
        <v>299</v>
      </c>
      <c r="B990" t="s">
        <v>1946</v>
      </c>
      <c r="C990" t="s">
        <v>1975</v>
      </c>
      <c r="D990" t="s">
        <v>1976</v>
      </c>
    </row>
    <row r="991" spans="1:4" x14ac:dyDescent="0.3">
      <c r="A991" t="s">
        <v>299</v>
      </c>
      <c r="B991" t="s">
        <v>1946</v>
      </c>
      <c r="C991" t="s">
        <v>1977</v>
      </c>
      <c r="D991" t="s">
        <v>1978</v>
      </c>
    </row>
    <row r="992" spans="1:4" x14ac:dyDescent="0.3">
      <c r="A992" t="s">
        <v>299</v>
      </c>
      <c r="B992" t="s">
        <v>1946</v>
      </c>
      <c r="C992" t="s">
        <v>1979</v>
      </c>
      <c r="D992" t="s">
        <v>1980</v>
      </c>
    </row>
    <row r="993" spans="1:4" x14ac:dyDescent="0.3">
      <c r="A993" t="s">
        <v>299</v>
      </c>
      <c r="B993" t="s">
        <v>1946</v>
      </c>
      <c r="C993" t="s">
        <v>1981</v>
      </c>
      <c r="D993" t="s">
        <v>1982</v>
      </c>
    </row>
    <row r="994" spans="1:4" x14ac:dyDescent="0.3">
      <c r="A994" t="s">
        <v>299</v>
      </c>
      <c r="B994" t="s">
        <v>1946</v>
      </c>
      <c r="C994" t="s">
        <v>1983</v>
      </c>
      <c r="D994" t="s">
        <v>1984</v>
      </c>
    </row>
    <row r="995" spans="1:4" x14ac:dyDescent="0.3">
      <c r="A995" t="s">
        <v>299</v>
      </c>
      <c r="B995" t="s">
        <v>1946</v>
      </c>
      <c r="C995" t="s">
        <v>1985</v>
      </c>
      <c r="D995" t="s">
        <v>1986</v>
      </c>
    </row>
    <row r="996" spans="1:4" x14ac:dyDescent="0.3">
      <c r="A996" t="s">
        <v>299</v>
      </c>
      <c r="B996" t="s">
        <v>1946</v>
      </c>
      <c r="C996" t="s">
        <v>1987</v>
      </c>
      <c r="D996" t="s">
        <v>1988</v>
      </c>
    </row>
    <row r="997" spans="1:4" x14ac:dyDescent="0.3">
      <c r="A997" t="s">
        <v>299</v>
      </c>
      <c r="B997" t="s">
        <v>1946</v>
      </c>
      <c r="C997" t="s">
        <v>1989</v>
      </c>
      <c r="D997" t="s">
        <v>1990</v>
      </c>
    </row>
    <row r="998" spans="1:4" x14ac:dyDescent="0.3">
      <c r="A998" t="s">
        <v>299</v>
      </c>
      <c r="B998" t="s">
        <v>1946</v>
      </c>
      <c r="C998" t="s">
        <v>1991</v>
      </c>
      <c r="D998" t="s">
        <v>1992</v>
      </c>
    </row>
    <row r="999" spans="1:4" x14ac:dyDescent="0.3">
      <c r="A999" t="s">
        <v>299</v>
      </c>
      <c r="B999" t="s">
        <v>1946</v>
      </c>
      <c r="C999" t="s">
        <v>1993</v>
      </c>
      <c r="D999" t="s">
        <v>1994</v>
      </c>
    </row>
    <row r="1000" spans="1:4" x14ac:dyDescent="0.3">
      <c r="A1000" t="s">
        <v>299</v>
      </c>
      <c r="B1000" t="s">
        <v>1946</v>
      </c>
      <c r="C1000" t="s">
        <v>1995</v>
      </c>
      <c r="D1000" t="s">
        <v>1996</v>
      </c>
    </row>
    <row r="1001" spans="1:4" x14ac:dyDescent="0.3">
      <c r="A1001" t="s">
        <v>299</v>
      </c>
      <c r="B1001" t="s">
        <v>1946</v>
      </c>
      <c r="C1001" t="s">
        <v>1997</v>
      </c>
      <c r="D1001" t="s">
        <v>1998</v>
      </c>
    </row>
    <row r="1002" spans="1:4" x14ac:dyDescent="0.3">
      <c r="A1002" t="s">
        <v>299</v>
      </c>
      <c r="B1002" t="s">
        <v>1946</v>
      </c>
      <c r="C1002" t="s">
        <v>1999</v>
      </c>
      <c r="D1002" t="s">
        <v>2000</v>
      </c>
    </row>
    <row r="1003" spans="1:4" x14ac:dyDescent="0.3">
      <c r="A1003" t="s">
        <v>299</v>
      </c>
      <c r="B1003" t="s">
        <v>1946</v>
      </c>
      <c r="C1003" t="s">
        <v>2001</v>
      </c>
      <c r="D1003" t="s">
        <v>2002</v>
      </c>
    </row>
    <row r="1004" spans="1:4" x14ac:dyDescent="0.3">
      <c r="A1004" t="s">
        <v>299</v>
      </c>
      <c r="B1004" t="s">
        <v>1946</v>
      </c>
      <c r="C1004" t="s">
        <v>2003</v>
      </c>
      <c r="D1004" t="s">
        <v>2004</v>
      </c>
    </row>
    <row r="1005" spans="1:4" x14ac:dyDescent="0.3">
      <c r="A1005" t="s">
        <v>299</v>
      </c>
      <c r="B1005" t="s">
        <v>1946</v>
      </c>
      <c r="C1005" t="s">
        <v>2005</v>
      </c>
      <c r="D1005" t="s">
        <v>2006</v>
      </c>
    </row>
    <row r="1006" spans="1:4" x14ac:dyDescent="0.3">
      <c r="A1006" t="s">
        <v>299</v>
      </c>
      <c r="B1006" t="s">
        <v>1946</v>
      </c>
      <c r="C1006" t="s">
        <v>2007</v>
      </c>
      <c r="D1006" t="s">
        <v>2008</v>
      </c>
    </row>
    <row r="1007" spans="1:4" x14ac:dyDescent="0.3">
      <c r="A1007" t="s">
        <v>299</v>
      </c>
      <c r="B1007" t="s">
        <v>1946</v>
      </c>
      <c r="C1007" t="s">
        <v>2009</v>
      </c>
      <c r="D1007" t="s">
        <v>2010</v>
      </c>
    </row>
    <row r="1008" spans="1:4" x14ac:dyDescent="0.3">
      <c r="A1008" t="s">
        <v>299</v>
      </c>
      <c r="B1008" t="s">
        <v>1946</v>
      </c>
      <c r="C1008" t="s">
        <v>2011</v>
      </c>
      <c r="D1008" t="s">
        <v>2012</v>
      </c>
    </row>
    <row r="1009" spans="1:4" x14ac:dyDescent="0.3">
      <c r="A1009" t="s">
        <v>299</v>
      </c>
      <c r="B1009" t="s">
        <v>1946</v>
      </c>
      <c r="C1009" t="s">
        <v>2013</v>
      </c>
      <c r="D1009" t="s">
        <v>2014</v>
      </c>
    </row>
    <row r="1010" spans="1:4" x14ac:dyDescent="0.3">
      <c r="A1010" t="s">
        <v>299</v>
      </c>
      <c r="B1010" t="s">
        <v>1946</v>
      </c>
      <c r="C1010" t="s">
        <v>2015</v>
      </c>
      <c r="D1010" t="s">
        <v>2016</v>
      </c>
    </row>
    <row r="1011" spans="1:4" x14ac:dyDescent="0.3">
      <c r="A1011" t="s">
        <v>299</v>
      </c>
      <c r="B1011" t="s">
        <v>1946</v>
      </c>
      <c r="C1011" t="s">
        <v>2017</v>
      </c>
      <c r="D1011" t="s">
        <v>2018</v>
      </c>
    </row>
    <row r="1012" spans="1:4" x14ac:dyDescent="0.3">
      <c r="A1012" t="s">
        <v>299</v>
      </c>
      <c r="B1012" t="s">
        <v>1946</v>
      </c>
      <c r="C1012" t="s">
        <v>2019</v>
      </c>
      <c r="D1012" t="s">
        <v>2020</v>
      </c>
    </row>
    <row r="1013" spans="1:4" x14ac:dyDescent="0.3">
      <c r="A1013" t="s">
        <v>299</v>
      </c>
      <c r="B1013" t="s">
        <v>1946</v>
      </c>
      <c r="C1013" t="s">
        <v>2021</v>
      </c>
      <c r="D1013" t="s">
        <v>2022</v>
      </c>
    </row>
    <row r="1014" spans="1:4" x14ac:dyDescent="0.3">
      <c r="A1014" t="s">
        <v>299</v>
      </c>
      <c r="B1014" t="s">
        <v>1946</v>
      </c>
      <c r="C1014" t="s">
        <v>2023</v>
      </c>
      <c r="D1014" t="s">
        <v>2024</v>
      </c>
    </row>
    <row r="1015" spans="1:4" x14ac:dyDescent="0.3">
      <c r="A1015" t="s">
        <v>299</v>
      </c>
      <c r="B1015" t="s">
        <v>1946</v>
      </c>
      <c r="C1015" t="s">
        <v>2025</v>
      </c>
      <c r="D1015" t="s">
        <v>2026</v>
      </c>
    </row>
    <row r="1016" spans="1:4" x14ac:dyDescent="0.3">
      <c r="A1016" t="s">
        <v>299</v>
      </c>
      <c r="B1016" t="s">
        <v>1946</v>
      </c>
      <c r="C1016" t="s">
        <v>2027</v>
      </c>
      <c r="D1016" t="s">
        <v>2028</v>
      </c>
    </row>
    <row r="1017" spans="1:4" x14ac:dyDescent="0.3">
      <c r="A1017" t="s">
        <v>299</v>
      </c>
      <c r="B1017" t="s">
        <v>1946</v>
      </c>
      <c r="C1017" t="s">
        <v>2029</v>
      </c>
      <c r="D1017" t="s">
        <v>2030</v>
      </c>
    </row>
    <row r="1018" spans="1:4" x14ac:dyDescent="0.3">
      <c r="A1018" t="s">
        <v>299</v>
      </c>
      <c r="B1018" t="s">
        <v>1946</v>
      </c>
      <c r="C1018" t="s">
        <v>2031</v>
      </c>
      <c r="D1018" t="s">
        <v>2032</v>
      </c>
    </row>
    <row r="1019" spans="1:4" x14ac:dyDescent="0.3">
      <c r="A1019" t="s">
        <v>299</v>
      </c>
      <c r="B1019" t="s">
        <v>1946</v>
      </c>
      <c r="C1019" t="s">
        <v>2033</v>
      </c>
      <c r="D1019" t="s">
        <v>2034</v>
      </c>
    </row>
    <row r="1020" spans="1:4" x14ac:dyDescent="0.3">
      <c r="A1020" t="s">
        <v>299</v>
      </c>
      <c r="B1020" t="s">
        <v>1946</v>
      </c>
      <c r="C1020" t="s">
        <v>2035</v>
      </c>
      <c r="D1020" t="s">
        <v>2036</v>
      </c>
    </row>
    <row r="1021" spans="1:4" x14ac:dyDescent="0.3">
      <c r="A1021" t="s">
        <v>299</v>
      </c>
      <c r="B1021" t="s">
        <v>1946</v>
      </c>
      <c r="C1021" t="s">
        <v>2037</v>
      </c>
      <c r="D1021" t="s">
        <v>2038</v>
      </c>
    </row>
    <row r="1022" spans="1:4" x14ac:dyDescent="0.3">
      <c r="A1022" t="s">
        <v>2039</v>
      </c>
      <c r="B1022" t="s">
        <v>2040</v>
      </c>
      <c r="C1022" t="s">
        <v>2041</v>
      </c>
      <c r="D1022" t="s">
        <v>2042</v>
      </c>
    </row>
    <row r="1023" spans="1:4" x14ac:dyDescent="0.3">
      <c r="A1023" t="s">
        <v>2039</v>
      </c>
      <c r="B1023" t="s">
        <v>2040</v>
      </c>
      <c r="C1023" t="s">
        <v>2043</v>
      </c>
      <c r="D1023" t="s">
        <v>1917</v>
      </c>
    </row>
    <row r="1024" spans="1:4" x14ac:dyDescent="0.3">
      <c r="A1024" t="s">
        <v>2039</v>
      </c>
      <c r="B1024" t="s">
        <v>2040</v>
      </c>
      <c r="C1024" t="s">
        <v>2044</v>
      </c>
      <c r="D1024" t="s">
        <v>2045</v>
      </c>
    </row>
    <row r="1025" spans="1:4" x14ac:dyDescent="0.3">
      <c r="A1025" t="s">
        <v>2039</v>
      </c>
      <c r="B1025" t="s">
        <v>2040</v>
      </c>
      <c r="C1025" t="s">
        <v>2046</v>
      </c>
      <c r="D1025" t="s">
        <v>1931</v>
      </c>
    </row>
    <row r="1026" spans="1:4" x14ac:dyDescent="0.3">
      <c r="A1026" t="s">
        <v>2039</v>
      </c>
      <c r="B1026" t="s">
        <v>2040</v>
      </c>
      <c r="C1026" t="s">
        <v>2047</v>
      </c>
      <c r="D1026" t="s">
        <v>2048</v>
      </c>
    </row>
    <row r="1027" spans="1:4" x14ac:dyDescent="0.3">
      <c r="A1027" t="s">
        <v>2039</v>
      </c>
      <c r="B1027" t="s">
        <v>2040</v>
      </c>
      <c r="C1027" t="s">
        <v>2049</v>
      </c>
      <c r="D1027" t="s">
        <v>2050</v>
      </c>
    </row>
    <row r="1028" spans="1:4" x14ac:dyDescent="0.3">
      <c r="A1028" t="s">
        <v>2039</v>
      </c>
      <c r="B1028" t="s">
        <v>2040</v>
      </c>
      <c r="C1028" t="s">
        <v>2051</v>
      </c>
      <c r="D1028" t="s">
        <v>2052</v>
      </c>
    </row>
    <row r="1029" spans="1:4" x14ac:dyDescent="0.3">
      <c r="A1029" t="s">
        <v>2039</v>
      </c>
      <c r="B1029" t="s">
        <v>2040</v>
      </c>
      <c r="C1029" t="s">
        <v>2053</v>
      </c>
      <c r="D1029" t="s">
        <v>2054</v>
      </c>
    </row>
    <row r="1030" spans="1:4" x14ac:dyDescent="0.3">
      <c r="A1030" t="s">
        <v>2039</v>
      </c>
      <c r="B1030" t="s">
        <v>2040</v>
      </c>
      <c r="C1030" t="s">
        <v>2055</v>
      </c>
      <c r="D1030" t="s">
        <v>2056</v>
      </c>
    </row>
    <row r="1031" spans="1:4" x14ac:dyDescent="0.3">
      <c r="A1031" t="s">
        <v>2039</v>
      </c>
      <c r="B1031" t="s">
        <v>2040</v>
      </c>
      <c r="C1031" t="s">
        <v>2057</v>
      </c>
      <c r="D1031" t="s">
        <v>2058</v>
      </c>
    </row>
    <row r="1032" spans="1:4" x14ac:dyDescent="0.3">
      <c r="A1032" t="s">
        <v>2039</v>
      </c>
      <c r="B1032" t="s">
        <v>2040</v>
      </c>
      <c r="C1032" t="s">
        <v>2059</v>
      </c>
      <c r="D1032" t="s">
        <v>2060</v>
      </c>
    </row>
    <row r="1033" spans="1:4" x14ac:dyDescent="0.3">
      <c r="A1033" t="s">
        <v>2061</v>
      </c>
      <c r="B1033" t="s">
        <v>2062</v>
      </c>
      <c r="C1033" t="s">
        <v>2063</v>
      </c>
      <c r="D1033" t="s">
        <v>2064</v>
      </c>
    </row>
    <row r="1034" spans="1:4" x14ac:dyDescent="0.3">
      <c r="A1034" t="s">
        <v>2061</v>
      </c>
      <c r="B1034" t="s">
        <v>2062</v>
      </c>
      <c r="C1034" t="s">
        <v>2065</v>
      </c>
      <c r="D1034" t="s">
        <v>2066</v>
      </c>
    </row>
    <row r="1035" spans="1:4" x14ac:dyDescent="0.3">
      <c r="A1035" t="s">
        <v>2061</v>
      </c>
      <c r="B1035" t="s">
        <v>2062</v>
      </c>
      <c r="C1035" t="s">
        <v>2067</v>
      </c>
      <c r="D1035" t="s">
        <v>2068</v>
      </c>
    </row>
    <row r="1036" spans="1:4" x14ac:dyDescent="0.3">
      <c r="A1036" t="s">
        <v>2061</v>
      </c>
      <c r="B1036" t="s">
        <v>2062</v>
      </c>
      <c r="C1036" t="s">
        <v>2069</v>
      </c>
      <c r="D1036" t="s">
        <v>2070</v>
      </c>
    </row>
    <row r="1037" spans="1:4" x14ac:dyDescent="0.3">
      <c r="A1037" t="s">
        <v>2061</v>
      </c>
      <c r="B1037" t="s">
        <v>2062</v>
      </c>
      <c r="C1037" t="s">
        <v>2071</v>
      </c>
      <c r="D1037" t="s">
        <v>2072</v>
      </c>
    </row>
    <row r="1038" spans="1:4" x14ac:dyDescent="0.3">
      <c r="A1038" t="s">
        <v>2061</v>
      </c>
      <c r="B1038" t="s">
        <v>2062</v>
      </c>
      <c r="C1038" t="s">
        <v>2073</v>
      </c>
      <c r="D1038" t="s">
        <v>2074</v>
      </c>
    </row>
    <row r="1039" spans="1:4" x14ac:dyDescent="0.3">
      <c r="A1039" t="s">
        <v>2061</v>
      </c>
      <c r="B1039" t="s">
        <v>2062</v>
      </c>
      <c r="C1039" t="s">
        <v>2075</v>
      </c>
      <c r="D1039" t="s">
        <v>2076</v>
      </c>
    </row>
    <row r="1040" spans="1:4" x14ac:dyDescent="0.3">
      <c r="A1040" t="s">
        <v>2061</v>
      </c>
      <c r="B1040" t="s">
        <v>2062</v>
      </c>
      <c r="C1040" t="s">
        <v>2077</v>
      </c>
      <c r="D1040" t="s">
        <v>2078</v>
      </c>
    </row>
    <row r="1041" spans="1:4" x14ac:dyDescent="0.3">
      <c r="A1041" t="s">
        <v>2061</v>
      </c>
      <c r="B1041" t="s">
        <v>2062</v>
      </c>
      <c r="C1041" t="s">
        <v>2079</v>
      </c>
      <c r="D1041" t="s">
        <v>2080</v>
      </c>
    </row>
    <row r="1042" spans="1:4" x14ac:dyDescent="0.3">
      <c r="A1042" t="s">
        <v>2061</v>
      </c>
      <c r="B1042" t="s">
        <v>2062</v>
      </c>
      <c r="C1042" t="s">
        <v>2081</v>
      </c>
      <c r="D1042" t="s">
        <v>2082</v>
      </c>
    </row>
    <row r="1043" spans="1:4" x14ac:dyDescent="0.3">
      <c r="A1043" t="s">
        <v>2061</v>
      </c>
      <c r="B1043" t="s">
        <v>2062</v>
      </c>
      <c r="C1043" t="s">
        <v>2089</v>
      </c>
      <c r="D1043" t="s">
        <v>4145</v>
      </c>
    </row>
    <row r="1044" spans="1:4" x14ac:dyDescent="0.3">
      <c r="A1044" t="s">
        <v>2061</v>
      </c>
      <c r="B1044" t="s">
        <v>2062</v>
      </c>
      <c r="C1044" t="s">
        <v>2083</v>
      </c>
      <c r="D1044" t="s">
        <v>2084</v>
      </c>
    </row>
    <row r="1045" spans="1:4" x14ac:dyDescent="0.3">
      <c r="A1045" t="s">
        <v>2061</v>
      </c>
      <c r="B1045" t="s">
        <v>2062</v>
      </c>
      <c r="C1045" t="s">
        <v>2085</v>
      </c>
      <c r="D1045" t="s">
        <v>2086</v>
      </c>
    </row>
    <row r="1046" spans="1:4" x14ac:dyDescent="0.3">
      <c r="A1046" t="s">
        <v>2061</v>
      </c>
      <c r="B1046" t="s">
        <v>2062</v>
      </c>
      <c r="C1046" t="s">
        <v>2087</v>
      </c>
      <c r="D1046" t="s">
        <v>2088</v>
      </c>
    </row>
    <row r="1047" spans="1:4" x14ac:dyDescent="0.3">
      <c r="A1047" t="s">
        <v>2061</v>
      </c>
      <c r="B1047" t="s">
        <v>2062</v>
      </c>
      <c r="C1047" t="s">
        <v>2090</v>
      </c>
      <c r="D1047" t="s">
        <v>2091</v>
      </c>
    </row>
    <row r="1048" spans="1:4" x14ac:dyDescent="0.3">
      <c r="A1048" t="s">
        <v>2061</v>
      </c>
      <c r="B1048" t="s">
        <v>2062</v>
      </c>
      <c r="C1048" t="s">
        <v>2092</v>
      </c>
      <c r="D1048" t="s">
        <v>2093</v>
      </c>
    </row>
    <row r="1049" spans="1:4" x14ac:dyDescent="0.3">
      <c r="A1049" t="s">
        <v>2061</v>
      </c>
      <c r="B1049" t="s">
        <v>2062</v>
      </c>
      <c r="C1049" t="s">
        <v>2094</v>
      </c>
      <c r="D1049" t="s">
        <v>2095</v>
      </c>
    </row>
    <row r="1050" spans="1:4" x14ac:dyDescent="0.3">
      <c r="A1050" t="s">
        <v>2061</v>
      </c>
      <c r="B1050" t="s">
        <v>2062</v>
      </c>
      <c r="C1050" t="s">
        <v>2096</v>
      </c>
      <c r="D1050" t="s">
        <v>2097</v>
      </c>
    </row>
    <row r="1051" spans="1:4" x14ac:dyDescent="0.3">
      <c r="A1051" t="s">
        <v>2061</v>
      </c>
      <c r="B1051" t="s">
        <v>2062</v>
      </c>
      <c r="C1051" t="s">
        <v>2098</v>
      </c>
      <c r="D1051" t="s">
        <v>2099</v>
      </c>
    </row>
    <row r="1052" spans="1:4" x14ac:dyDescent="0.3">
      <c r="A1052" t="s">
        <v>2061</v>
      </c>
      <c r="B1052" t="s">
        <v>2062</v>
      </c>
      <c r="C1052" t="s">
        <v>2100</v>
      </c>
      <c r="D1052" t="s">
        <v>2101</v>
      </c>
    </row>
    <row r="1053" spans="1:4" x14ac:dyDescent="0.3">
      <c r="A1053" t="s">
        <v>2061</v>
      </c>
      <c r="B1053" t="s">
        <v>2062</v>
      </c>
      <c r="C1053" t="s">
        <v>2102</v>
      </c>
      <c r="D1053" t="s">
        <v>2103</v>
      </c>
    </row>
    <row r="1054" spans="1:4" x14ac:dyDescent="0.3">
      <c r="A1054" t="s">
        <v>2061</v>
      </c>
      <c r="B1054" t="s">
        <v>2062</v>
      </c>
      <c r="C1054" t="s">
        <v>2104</v>
      </c>
      <c r="D1054" t="s">
        <v>2105</v>
      </c>
    </row>
    <row r="1055" spans="1:4" x14ac:dyDescent="0.3">
      <c r="A1055" t="s">
        <v>2061</v>
      </c>
      <c r="B1055" t="s">
        <v>2062</v>
      </c>
      <c r="C1055" t="s">
        <v>2106</v>
      </c>
      <c r="D1055" t="s">
        <v>2107</v>
      </c>
    </row>
    <row r="1056" spans="1:4" x14ac:dyDescent="0.3">
      <c r="A1056" t="s">
        <v>2061</v>
      </c>
      <c r="B1056" t="s">
        <v>2062</v>
      </c>
      <c r="C1056" t="s">
        <v>2108</v>
      </c>
      <c r="D1056" t="s">
        <v>2109</v>
      </c>
    </row>
    <row r="1057" spans="1:4" x14ac:dyDescent="0.3">
      <c r="A1057" t="s">
        <v>2061</v>
      </c>
      <c r="B1057" t="s">
        <v>2062</v>
      </c>
      <c r="C1057" t="s">
        <v>2110</v>
      </c>
      <c r="D1057" t="s">
        <v>2111</v>
      </c>
    </row>
    <row r="1058" spans="1:4" x14ac:dyDescent="0.3">
      <c r="A1058" t="s">
        <v>2061</v>
      </c>
      <c r="B1058" t="s">
        <v>2062</v>
      </c>
      <c r="C1058" t="s">
        <v>2112</v>
      </c>
      <c r="D1058" t="s">
        <v>2113</v>
      </c>
    </row>
    <row r="1059" spans="1:4" x14ac:dyDescent="0.3">
      <c r="A1059" t="s">
        <v>2061</v>
      </c>
      <c r="B1059" t="s">
        <v>2062</v>
      </c>
      <c r="C1059" t="s">
        <v>2114</v>
      </c>
      <c r="D1059" t="s">
        <v>1897</v>
      </c>
    </row>
    <row r="1060" spans="1:4" x14ac:dyDescent="0.3">
      <c r="A1060" t="s">
        <v>2115</v>
      </c>
      <c r="B1060" t="s">
        <v>2116</v>
      </c>
      <c r="C1060" t="s">
        <v>2117</v>
      </c>
      <c r="D1060" t="s">
        <v>2118</v>
      </c>
    </row>
    <row r="1061" spans="1:4" x14ac:dyDescent="0.3">
      <c r="A1061" t="s">
        <v>2115</v>
      </c>
      <c r="B1061" t="s">
        <v>2116</v>
      </c>
      <c r="C1061" t="s">
        <v>2119</v>
      </c>
      <c r="D1061" t="s">
        <v>2120</v>
      </c>
    </row>
    <row r="1062" spans="1:4" x14ac:dyDescent="0.3">
      <c r="A1062" t="s">
        <v>2115</v>
      </c>
      <c r="B1062" t="s">
        <v>2116</v>
      </c>
      <c r="C1062" t="s">
        <v>2121</v>
      </c>
      <c r="D1062" t="s">
        <v>2122</v>
      </c>
    </row>
    <row r="1063" spans="1:4" x14ac:dyDescent="0.3">
      <c r="A1063" t="s">
        <v>2115</v>
      </c>
      <c r="B1063" t="s">
        <v>2116</v>
      </c>
      <c r="C1063" t="s">
        <v>2123</v>
      </c>
      <c r="D1063" t="s">
        <v>2124</v>
      </c>
    </row>
    <row r="1064" spans="1:4" x14ac:dyDescent="0.3">
      <c r="A1064" t="s">
        <v>2115</v>
      </c>
      <c r="B1064" t="s">
        <v>2116</v>
      </c>
      <c r="C1064" t="s">
        <v>2125</v>
      </c>
      <c r="D1064" t="s">
        <v>2126</v>
      </c>
    </row>
    <row r="1065" spans="1:4" x14ac:dyDescent="0.3">
      <c r="A1065" t="s">
        <v>2115</v>
      </c>
      <c r="B1065" t="s">
        <v>2116</v>
      </c>
      <c r="C1065" t="s">
        <v>2127</v>
      </c>
      <c r="D1065" t="s">
        <v>2128</v>
      </c>
    </row>
    <row r="1066" spans="1:4" x14ac:dyDescent="0.3">
      <c r="A1066" t="s">
        <v>2115</v>
      </c>
      <c r="B1066" t="s">
        <v>2116</v>
      </c>
      <c r="C1066" t="s">
        <v>2129</v>
      </c>
      <c r="D1066" t="s">
        <v>2130</v>
      </c>
    </row>
    <row r="1067" spans="1:4" x14ac:dyDescent="0.3">
      <c r="A1067" t="s">
        <v>2115</v>
      </c>
      <c r="B1067" t="s">
        <v>2116</v>
      </c>
      <c r="C1067" t="s">
        <v>2131</v>
      </c>
      <c r="D1067" t="s">
        <v>2132</v>
      </c>
    </row>
    <row r="1068" spans="1:4" x14ac:dyDescent="0.3">
      <c r="A1068" t="s">
        <v>2115</v>
      </c>
      <c r="B1068" t="s">
        <v>2116</v>
      </c>
      <c r="C1068" t="s">
        <v>2133</v>
      </c>
      <c r="D1068" t="s">
        <v>2134</v>
      </c>
    </row>
    <row r="1069" spans="1:4" x14ac:dyDescent="0.3">
      <c r="A1069" t="s">
        <v>2115</v>
      </c>
      <c r="B1069" t="s">
        <v>2116</v>
      </c>
      <c r="C1069" t="s">
        <v>2135</v>
      </c>
      <c r="D1069" t="s">
        <v>2136</v>
      </c>
    </row>
    <row r="1070" spans="1:4" x14ac:dyDescent="0.3">
      <c r="A1070" t="s">
        <v>2115</v>
      </c>
      <c r="B1070" t="s">
        <v>2116</v>
      </c>
      <c r="C1070" t="s">
        <v>2137</v>
      </c>
      <c r="D1070" t="s">
        <v>2138</v>
      </c>
    </row>
    <row r="1071" spans="1:4" x14ac:dyDescent="0.3">
      <c r="A1071" t="s">
        <v>2115</v>
      </c>
      <c r="B1071" t="s">
        <v>2116</v>
      </c>
      <c r="C1071" t="s">
        <v>2139</v>
      </c>
      <c r="D1071" t="s">
        <v>2140</v>
      </c>
    </row>
    <row r="1072" spans="1:4" x14ac:dyDescent="0.3">
      <c r="A1072" t="s">
        <v>2115</v>
      </c>
      <c r="B1072" t="s">
        <v>2116</v>
      </c>
      <c r="C1072" t="s">
        <v>2141</v>
      </c>
      <c r="D1072" t="s">
        <v>2142</v>
      </c>
    </row>
    <row r="1073" spans="1:4" x14ac:dyDescent="0.3">
      <c r="A1073" t="s">
        <v>2143</v>
      </c>
      <c r="B1073" t="s">
        <v>2144</v>
      </c>
      <c r="C1073" t="s">
        <v>2145</v>
      </c>
      <c r="D1073" t="s">
        <v>2146</v>
      </c>
    </row>
    <row r="1074" spans="1:4" x14ac:dyDescent="0.3">
      <c r="A1074" t="s">
        <v>2143</v>
      </c>
      <c r="B1074" t="s">
        <v>2144</v>
      </c>
      <c r="C1074" t="s">
        <v>2147</v>
      </c>
      <c r="D1074" t="s">
        <v>2148</v>
      </c>
    </row>
    <row r="1075" spans="1:4" x14ac:dyDescent="0.3">
      <c r="A1075" t="s">
        <v>2143</v>
      </c>
      <c r="B1075" t="s">
        <v>2144</v>
      </c>
      <c r="C1075" t="s">
        <v>2149</v>
      </c>
      <c r="D1075" t="s">
        <v>2150</v>
      </c>
    </row>
    <row r="1076" spans="1:4" x14ac:dyDescent="0.3">
      <c r="A1076" t="s">
        <v>2143</v>
      </c>
      <c r="B1076" t="s">
        <v>2144</v>
      </c>
      <c r="C1076" t="s">
        <v>2151</v>
      </c>
      <c r="D1076" t="s">
        <v>2152</v>
      </c>
    </row>
    <row r="1077" spans="1:4" x14ac:dyDescent="0.3">
      <c r="A1077" t="s">
        <v>2143</v>
      </c>
      <c r="B1077" t="s">
        <v>2144</v>
      </c>
      <c r="C1077" t="s">
        <v>2153</v>
      </c>
      <c r="D1077" t="s">
        <v>2154</v>
      </c>
    </row>
    <row r="1078" spans="1:4" x14ac:dyDescent="0.3">
      <c r="A1078" t="s">
        <v>2143</v>
      </c>
      <c r="B1078" t="s">
        <v>2144</v>
      </c>
      <c r="C1078" t="s">
        <v>2155</v>
      </c>
      <c r="D1078" t="s">
        <v>2156</v>
      </c>
    </row>
    <row r="1079" spans="1:4" x14ac:dyDescent="0.3">
      <c r="A1079" t="s">
        <v>2143</v>
      </c>
      <c r="B1079" t="s">
        <v>2144</v>
      </c>
      <c r="C1079" t="s">
        <v>2157</v>
      </c>
      <c r="D1079" t="s">
        <v>2158</v>
      </c>
    </row>
    <row r="1080" spans="1:4" x14ac:dyDescent="0.3">
      <c r="A1080" t="s">
        <v>2143</v>
      </c>
      <c r="B1080" t="s">
        <v>2144</v>
      </c>
      <c r="C1080" t="s">
        <v>2159</v>
      </c>
      <c r="D1080" t="s">
        <v>2160</v>
      </c>
    </row>
    <row r="1081" spans="1:4" x14ac:dyDescent="0.3">
      <c r="A1081" t="s">
        <v>2143</v>
      </c>
      <c r="B1081" t="s">
        <v>2144</v>
      </c>
      <c r="C1081" t="s">
        <v>2161</v>
      </c>
      <c r="D1081" t="s">
        <v>2162</v>
      </c>
    </row>
    <row r="1082" spans="1:4" x14ac:dyDescent="0.3">
      <c r="A1082" t="s">
        <v>2143</v>
      </c>
      <c r="B1082" t="s">
        <v>2144</v>
      </c>
      <c r="C1082" t="s">
        <v>2163</v>
      </c>
      <c r="D1082" t="s">
        <v>2164</v>
      </c>
    </row>
    <row r="1083" spans="1:4" x14ac:dyDescent="0.3">
      <c r="A1083" t="s">
        <v>2143</v>
      </c>
      <c r="B1083" t="s">
        <v>2144</v>
      </c>
      <c r="C1083" t="s">
        <v>2165</v>
      </c>
      <c r="D1083" t="s">
        <v>2166</v>
      </c>
    </row>
    <row r="1084" spans="1:4" x14ac:dyDescent="0.3">
      <c r="A1084" t="s">
        <v>2143</v>
      </c>
      <c r="B1084" t="s">
        <v>2144</v>
      </c>
      <c r="C1084" t="s">
        <v>2167</v>
      </c>
      <c r="D1084" t="s">
        <v>2168</v>
      </c>
    </row>
    <row r="1085" spans="1:4" x14ac:dyDescent="0.3">
      <c r="A1085" t="s">
        <v>2143</v>
      </c>
      <c r="B1085" t="s">
        <v>2144</v>
      </c>
      <c r="C1085" t="s">
        <v>2169</v>
      </c>
      <c r="D1085" t="s">
        <v>2170</v>
      </c>
    </row>
    <row r="1086" spans="1:4" x14ac:dyDescent="0.3">
      <c r="A1086" t="s">
        <v>2143</v>
      </c>
      <c r="B1086" t="s">
        <v>2144</v>
      </c>
      <c r="C1086" t="s">
        <v>2171</v>
      </c>
      <c r="D1086" t="s">
        <v>2172</v>
      </c>
    </row>
    <row r="1087" spans="1:4" x14ac:dyDescent="0.3">
      <c r="A1087" t="s">
        <v>2143</v>
      </c>
      <c r="B1087" t="s">
        <v>2144</v>
      </c>
      <c r="C1087" t="s">
        <v>2173</v>
      </c>
      <c r="D1087" t="s">
        <v>2174</v>
      </c>
    </row>
    <row r="1088" spans="1:4" x14ac:dyDescent="0.3">
      <c r="A1088" t="s">
        <v>2143</v>
      </c>
      <c r="B1088" t="s">
        <v>2144</v>
      </c>
      <c r="C1088" t="s">
        <v>2175</v>
      </c>
      <c r="D1088" t="s">
        <v>2176</v>
      </c>
    </row>
    <row r="1089" spans="1:4" x14ac:dyDescent="0.3">
      <c r="A1089" t="s">
        <v>2143</v>
      </c>
      <c r="B1089" t="s">
        <v>2144</v>
      </c>
      <c r="C1089" t="s">
        <v>4281</v>
      </c>
      <c r="D1089" t="s">
        <v>4282</v>
      </c>
    </row>
    <row r="1090" spans="1:4" x14ac:dyDescent="0.3">
      <c r="A1090" t="s">
        <v>2177</v>
      </c>
      <c r="B1090" t="s">
        <v>2178</v>
      </c>
      <c r="C1090" t="s">
        <v>2179</v>
      </c>
      <c r="D1090" t="s">
        <v>2180</v>
      </c>
    </row>
    <row r="1091" spans="1:4" x14ac:dyDescent="0.3">
      <c r="A1091" t="s">
        <v>2177</v>
      </c>
      <c r="B1091" t="s">
        <v>2178</v>
      </c>
      <c r="C1091" t="s">
        <v>2181</v>
      </c>
      <c r="D1091" t="s">
        <v>2182</v>
      </c>
    </row>
    <row r="1092" spans="1:4" x14ac:dyDescent="0.3">
      <c r="A1092" t="s">
        <v>2177</v>
      </c>
      <c r="B1092" t="s">
        <v>2178</v>
      </c>
      <c r="C1092" t="s">
        <v>4146</v>
      </c>
      <c r="D1092" t="s">
        <v>4147</v>
      </c>
    </row>
    <row r="1093" spans="1:4" x14ac:dyDescent="0.3">
      <c r="A1093" t="s">
        <v>2177</v>
      </c>
      <c r="B1093" t="s">
        <v>2178</v>
      </c>
      <c r="C1093" t="s">
        <v>2183</v>
      </c>
      <c r="D1093" t="s">
        <v>2184</v>
      </c>
    </row>
    <row r="1094" spans="1:4" x14ac:dyDescent="0.3">
      <c r="A1094" t="s">
        <v>2177</v>
      </c>
      <c r="B1094" t="s">
        <v>2178</v>
      </c>
      <c r="C1094" t="s">
        <v>2185</v>
      </c>
      <c r="D1094" t="s">
        <v>2186</v>
      </c>
    </row>
    <row r="1095" spans="1:4" x14ac:dyDescent="0.3">
      <c r="A1095" t="s">
        <v>2177</v>
      </c>
      <c r="B1095" t="s">
        <v>2178</v>
      </c>
      <c r="C1095" t="s">
        <v>4148</v>
      </c>
      <c r="D1095" t="s">
        <v>4149</v>
      </c>
    </row>
    <row r="1096" spans="1:4" x14ac:dyDescent="0.3">
      <c r="A1096" t="s">
        <v>2177</v>
      </c>
      <c r="B1096" t="s">
        <v>2178</v>
      </c>
      <c r="C1096" t="s">
        <v>2187</v>
      </c>
      <c r="D1096" t="s">
        <v>2188</v>
      </c>
    </row>
    <row r="1097" spans="1:4" x14ac:dyDescent="0.3">
      <c r="A1097" t="s">
        <v>2177</v>
      </c>
      <c r="B1097" t="s">
        <v>2178</v>
      </c>
      <c r="C1097" t="s">
        <v>2189</v>
      </c>
      <c r="D1097" t="s">
        <v>2190</v>
      </c>
    </row>
    <row r="1098" spans="1:4" x14ac:dyDescent="0.3">
      <c r="A1098" t="s">
        <v>2177</v>
      </c>
      <c r="B1098" t="s">
        <v>2178</v>
      </c>
      <c r="C1098" t="s">
        <v>2191</v>
      </c>
      <c r="D1098" t="s">
        <v>2192</v>
      </c>
    </row>
    <row r="1099" spans="1:4" x14ac:dyDescent="0.3">
      <c r="A1099" t="s">
        <v>2177</v>
      </c>
      <c r="B1099" t="s">
        <v>2178</v>
      </c>
      <c r="C1099" t="s">
        <v>2193</v>
      </c>
      <c r="D1099" t="s">
        <v>2194</v>
      </c>
    </row>
    <row r="1100" spans="1:4" x14ac:dyDescent="0.3">
      <c r="A1100" t="s">
        <v>2177</v>
      </c>
      <c r="B1100" t="s">
        <v>2178</v>
      </c>
      <c r="C1100" t="s">
        <v>2195</v>
      </c>
      <c r="D1100" t="s">
        <v>2196</v>
      </c>
    </row>
    <row r="1101" spans="1:4" x14ac:dyDescent="0.3">
      <c r="A1101" t="s">
        <v>2177</v>
      </c>
      <c r="B1101" t="s">
        <v>2178</v>
      </c>
      <c r="C1101" t="s">
        <v>2197</v>
      </c>
      <c r="D1101" t="s">
        <v>2198</v>
      </c>
    </row>
    <row r="1102" spans="1:4" x14ac:dyDescent="0.3">
      <c r="A1102" t="s">
        <v>2177</v>
      </c>
      <c r="B1102" t="s">
        <v>2178</v>
      </c>
      <c r="C1102" t="s">
        <v>2199</v>
      </c>
      <c r="D1102" t="s">
        <v>2200</v>
      </c>
    </row>
    <row r="1103" spans="1:4" x14ac:dyDescent="0.3">
      <c r="A1103" t="s">
        <v>2177</v>
      </c>
      <c r="B1103" t="s">
        <v>2178</v>
      </c>
      <c r="C1103" t="s">
        <v>2201</v>
      </c>
      <c r="D1103" t="s">
        <v>2202</v>
      </c>
    </row>
    <row r="1104" spans="1:4" x14ac:dyDescent="0.3">
      <c r="A1104" t="s">
        <v>2177</v>
      </c>
      <c r="B1104" t="s">
        <v>2178</v>
      </c>
      <c r="C1104" t="s">
        <v>2203</v>
      </c>
      <c r="D1104" t="s">
        <v>2204</v>
      </c>
    </row>
    <row r="1105" spans="1:4" x14ac:dyDescent="0.3">
      <c r="A1105" t="s">
        <v>2177</v>
      </c>
      <c r="B1105" t="s">
        <v>2178</v>
      </c>
      <c r="C1105" t="s">
        <v>4150</v>
      </c>
      <c r="D1105" t="s">
        <v>4151</v>
      </c>
    </row>
    <row r="1106" spans="1:4" x14ac:dyDescent="0.3">
      <c r="A1106" t="s">
        <v>2177</v>
      </c>
      <c r="B1106" t="s">
        <v>2178</v>
      </c>
      <c r="C1106" t="s">
        <v>2205</v>
      </c>
      <c r="D1106" t="s">
        <v>2206</v>
      </c>
    </row>
    <row r="1107" spans="1:4" x14ac:dyDescent="0.3">
      <c r="A1107" t="s">
        <v>2177</v>
      </c>
      <c r="B1107" t="s">
        <v>2178</v>
      </c>
      <c r="C1107" t="s">
        <v>2207</v>
      </c>
      <c r="D1107" t="s">
        <v>2208</v>
      </c>
    </row>
    <row r="1108" spans="1:4" x14ac:dyDescent="0.3">
      <c r="A1108" t="s">
        <v>2177</v>
      </c>
      <c r="B1108" t="s">
        <v>2178</v>
      </c>
      <c r="C1108" t="s">
        <v>2209</v>
      </c>
      <c r="D1108" t="s">
        <v>2210</v>
      </c>
    </row>
    <row r="1109" spans="1:4" x14ac:dyDescent="0.3">
      <c r="A1109" t="s">
        <v>287</v>
      </c>
      <c r="B1109" t="s">
        <v>2211</v>
      </c>
      <c r="C1109" t="s">
        <v>2212</v>
      </c>
      <c r="D1109" t="s">
        <v>2213</v>
      </c>
    </row>
    <row r="1110" spans="1:4" x14ac:dyDescent="0.3">
      <c r="A1110" t="s">
        <v>287</v>
      </c>
      <c r="B1110" t="s">
        <v>2211</v>
      </c>
      <c r="C1110" t="s">
        <v>2214</v>
      </c>
      <c r="D1110" t="s">
        <v>2215</v>
      </c>
    </row>
    <row r="1111" spans="1:4" x14ac:dyDescent="0.3">
      <c r="A1111" t="s">
        <v>287</v>
      </c>
      <c r="B1111" t="s">
        <v>2211</v>
      </c>
      <c r="C1111" t="s">
        <v>2216</v>
      </c>
      <c r="D1111" t="s">
        <v>2217</v>
      </c>
    </row>
    <row r="1112" spans="1:4" x14ac:dyDescent="0.3">
      <c r="A1112" t="s">
        <v>287</v>
      </c>
      <c r="B1112" t="s">
        <v>2211</v>
      </c>
      <c r="C1112" t="s">
        <v>2218</v>
      </c>
      <c r="D1112" t="s">
        <v>2219</v>
      </c>
    </row>
    <row r="1113" spans="1:4" x14ac:dyDescent="0.3">
      <c r="A1113" t="s">
        <v>287</v>
      </c>
      <c r="B1113" t="s">
        <v>2211</v>
      </c>
      <c r="C1113" t="s">
        <v>2220</v>
      </c>
      <c r="D1113" t="s">
        <v>2221</v>
      </c>
    </row>
    <row r="1114" spans="1:4" x14ac:dyDescent="0.3">
      <c r="A1114" t="s">
        <v>287</v>
      </c>
      <c r="B1114" t="s">
        <v>2211</v>
      </c>
      <c r="C1114" t="s">
        <v>2222</v>
      </c>
      <c r="D1114" t="s">
        <v>2223</v>
      </c>
    </row>
    <row r="1115" spans="1:4" x14ac:dyDescent="0.3">
      <c r="A1115" t="s">
        <v>287</v>
      </c>
      <c r="B1115" t="s">
        <v>2211</v>
      </c>
      <c r="C1115" t="s">
        <v>2224</v>
      </c>
      <c r="D1115" t="s">
        <v>2225</v>
      </c>
    </row>
    <row r="1116" spans="1:4" x14ac:dyDescent="0.3">
      <c r="A1116" t="s">
        <v>287</v>
      </c>
      <c r="B1116" t="s">
        <v>2211</v>
      </c>
      <c r="C1116" t="s">
        <v>2226</v>
      </c>
      <c r="D1116" t="s">
        <v>2227</v>
      </c>
    </row>
    <row r="1117" spans="1:4" x14ac:dyDescent="0.3">
      <c r="A1117" t="s">
        <v>287</v>
      </c>
      <c r="B1117" t="s">
        <v>2211</v>
      </c>
      <c r="C1117" t="s">
        <v>2228</v>
      </c>
      <c r="D1117" t="s">
        <v>2229</v>
      </c>
    </row>
    <row r="1118" spans="1:4" x14ac:dyDescent="0.3">
      <c r="A1118" t="s">
        <v>287</v>
      </c>
      <c r="B1118" t="s">
        <v>2211</v>
      </c>
      <c r="C1118" t="s">
        <v>2230</v>
      </c>
      <c r="D1118" t="s">
        <v>2231</v>
      </c>
    </row>
    <row r="1119" spans="1:4" x14ac:dyDescent="0.3">
      <c r="A1119" t="s">
        <v>287</v>
      </c>
      <c r="B1119" t="s">
        <v>2211</v>
      </c>
      <c r="C1119" t="s">
        <v>2232</v>
      </c>
      <c r="D1119" t="s">
        <v>2233</v>
      </c>
    </row>
    <row r="1120" spans="1:4" x14ac:dyDescent="0.3">
      <c r="A1120" t="s">
        <v>287</v>
      </c>
      <c r="B1120" t="s">
        <v>2211</v>
      </c>
      <c r="C1120" t="s">
        <v>2234</v>
      </c>
      <c r="D1120" t="s">
        <v>2235</v>
      </c>
    </row>
    <row r="1121" spans="1:4" x14ac:dyDescent="0.3">
      <c r="A1121" t="s">
        <v>287</v>
      </c>
      <c r="B1121" t="s">
        <v>2211</v>
      </c>
      <c r="C1121" t="s">
        <v>2236</v>
      </c>
      <c r="D1121" t="s">
        <v>2237</v>
      </c>
    </row>
    <row r="1122" spans="1:4" x14ac:dyDescent="0.3">
      <c r="A1122" t="s">
        <v>287</v>
      </c>
      <c r="B1122" t="s">
        <v>2211</v>
      </c>
      <c r="C1122" t="s">
        <v>2238</v>
      </c>
      <c r="D1122" t="s">
        <v>2239</v>
      </c>
    </row>
    <row r="1123" spans="1:4" x14ac:dyDescent="0.3">
      <c r="A1123" t="s">
        <v>287</v>
      </c>
      <c r="B1123" t="s">
        <v>2211</v>
      </c>
      <c r="C1123" t="s">
        <v>2240</v>
      </c>
      <c r="D1123" t="s">
        <v>2241</v>
      </c>
    </row>
    <row r="1124" spans="1:4" x14ac:dyDescent="0.3">
      <c r="A1124" t="s">
        <v>287</v>
      </c>
      <c r="B1124" t="s">
        <v>2211</v>
      </c>
      <c r="C1124" t="s">
        <v>4283</v>
      </c>
      <c r="D1124" t="s">
        <v>4284</v>
      </c>
    </row>
    <row r="1125" spans="1:4" x14ac:dyDescent="0.3">
      <c r="A1125" t="s">
        <v>287</v>
      </c>
      <c r="B1125" t="s">
        <v>2211</v>
      </c>
      <c r="C1125" t="s">
        <v>2242</v>
      </c>
      <c r="D1125" t="s">
        <v>2243</v>
      </c>
    </row>
    <row r="1126" spans="1:4" x14ac:dyDescent="0.3">
      <c r="A1126" t="s">
        <v>287</v>
      </c>
      <c r="B1126" t="s">
        <v>2211</v>
      </c>
      <c r="C1126" t="s">
        <v>2244</v>
      </c>
      <c r="D1126" t="s">
        <v>2245</v>
      </c>
    </row>
    <row r="1127" spans="1:4" x14ac:dyDescent="0.3">
      <c r="A1127" t="s">
        <v>287</v>
      </c>
      <c r="B1127" t="s">
        <v>2211</v>
      </c>
      <c r="C1127" t="s">
        <v>2246</v>
      </c>
      <c r="D1127" t="s">
        <v>2247</v>
      </c>
    </row>
    <row r="1128" spans="1:4" x14ac:dyDescent="0.3">
      <c r="A1128" t="s">
        <v>287</v>
      </c>
      <c r="B1128" t="s">
        <v>2211</v>
      </c>
      <c r="C1128" t="s">
        <v>2248</v>
      </c>
      <c r="D1128" t="s">
        <v>2249</v>
      </c>
    </row>
    <row r="1129" spans="1:4" x14ac:dyDescent="0.3">
      <c r="A1129" t="s">
        <v>287</v>
      </c>
      <c r="B1129" t="s">
        <v>2211</v>
      </c>
      <c r="C1129" t="s">
        <v>4231</v>
      </c>
      <c r="D1129" t="s">
        <v>4219</v>
      </c>
    </row>
    <row r="1130" spans="1:4" x14ac:dyDescent="0.3">
      <c r="A1130" t="s">
        <v>287</v>
      </c>
      <c r="B1130" t="s">
        <v>2211</v>
      </c>
      <c r="C1130" t="s">
        <v>2250</v>
      </c>
      <c r="D1130" t="s">
        <v>2251</v>
      </c>
    </row>
    <row r="1131" spans="1:4" x14ac:dyDescent="0.3">
      <c r="A1131" t="s">
        <v>287</v>
      </c>
      <c r="B1131" t="s">
        <v>2211</v>
      </c>
      <c r="C1131" t="s">
        <v>2252</v>
      </c>
      <c r="D1131" t="s">
        <v>2253</v>
      </c>
    </row>
    <row r="1132" spans="1:4" x14ac:dyDescent="0.3">
      <c r="A1132" t="s">
        <v>287</v>
      </c>
      <c r="B1132" t="s">
        <v>2211</v>
      </c>
      <c r="C1132" t="s">
        <v>2254</v>
      </c>
      <c r="D1132" t="s">
        <v>2255</v>
      </c>
    </row>
    <row r="1133" spans="1:4" x14ac:dyDescent="0.3">
      <c r="A1133" t="s">
        <v>287</v>
      </c>
      <c r="B1133" t="s">
        <v>2211</v>
      </c>
      <c r="C1133" t="s">
        <v>2256</v>
      </c>
      <c r="D1133" t="s">
        <v>2257</v>
      </c>
    </row>
    <row r="1134" spans="1:4" x14ac:dyDescent="0.3">
      <c r="A1134" t="s">
        <v>287</v>
      </c>
      <c r="B1134" t="s">
        <v>2211</v>
      </c>
      <c r="C1134" t="s">
        <v>2258</v>
      </c>
      <c r="D1134" t="s">
        <v>2259</v>
      </c>
    </row>
    <row r="1135" spans="1:4" x14ac:dyDescent="0.3">
      <c r="A1135" t="s">
        <v>287</v>
      </c>
      <c r="B1135" t="s">
        <v>2211</v>
      </c>
      <c r="C1135" t="s">
        <v>2260</v>
      </c>
      <c r="D1135" t="s">
        <v>2261</v>
      </c>
    </row>
    <row r="1136" spans="1:4" x14ac:dyDescent="0.3">
      <c r="A1136" t="s">
        <v>287</v>
      </c>
      <c r="B1136" t="s">
        <v>2211</v>
      </c>
      <c r="C1136" t="s">
        <v>2262</v>
      </c>
      <c r="D1136" t="s">
        <v>2263</v>
      </c>
    </row>
    <row r="1137" spans="1:4" x14ac:dyDescent="0.3">
      <c r="A1137" t="s">
        <v>287</v>
      </c>
      <c r="B1137" t="s">
        <v>2211</v>
      </c>
      <c r="C1137" t="s">
        <v>2264</v>
      </c>
      <c r="D1137" t="s">
        <v>2265</v>
      </c>
    </row>
    <row r="1138" spans="1:4" x14ac:dyDescent="0.3">
      <c r="A1138" t="s">
        <v>287</v>
      </c>
      <c r="B1138" t="s">
        <v>2211</v>
      </c>
      <c r="C1138" t="s">
        <v>2266</v>
      </c>
      <c r="D1138" t="s">
        <v>2267</v>
      </c>
    </row>
    <row r="1139" spans="1:4" x14ac:dyDescent="0.3">
      <c r="A1139" t="s">
        <v>287</v>
      </c>
      <c r="B1139" t="s">
        <v>2211</v>
      </c>
      <c r="C1139" t="s">
        <v>2268</v>
      </c>
      <c r="D1139" t="s">
        <v>2269</v>
      </c>
    </row>
    <row r="1140" spans="1:4" x14ac:dyDescent="0.3">
      <c r="A1140" t="s">
        <v>287</v>
      </c>
      <c r="B1140" t="s">
        <v>2211</v>
      </c>
      <c r="C1140" t="s">
        <v>2270</v>
      </c>
      <c r="D1140" t="s">
        <v>2271</v>
      </c>
    </row>
    <row r="1141" spans="1:4" x14ac:dyDescent="0.3">
      <c r="A1141" t="s">
        <v>287</v>
      </c>
      <c r="B1141" t="s">
        <v>2211</v>
      </c>
      <c r="C1141" t="s">
        <v>2272</v>
      </c>
      <c r="D1141" t="s">
        <v>2273</v>
      </c>
    </row>
    <row r="1142" spans="1:4" x14ac:dyDescent="0.3">
      <c r="A1142" t="s">
        <v>287</v>
      </c>
      <c r="B1142" t="s">
        <v>2211</v>
      </c>
      <c r="C1142" t="s">
        <v>2274</v>
      </c>
      <c r="D1142" t="s">
        <v>2275</v>
      </c>
    </row>
    <row r="1143" spans="1:4" x14ac:dyDescent="0.3">
      <c r="A1143" t="s">
        <v>287</v>
      </c>
      <c r="B1143" t="s">
        <v>2211</v>
      </c>
      <c r="C1143" t="s">
        <v>2276</v>
      </c>
      <c r="D1143" t="s">
        <v>2277</v>
      </c>
    </row>
    <row r="1144" spans="1:4" x14ac:dyDescent="0.3">
      <c r="A1144" t="s">
        <v>287</v>
      </c>
      <c r="B1144" t="s">
        <v>2211</v>
      </c>
      <c r="C1144" t="s">
        <v>2278</v>
      </c>
      <c r="D1144" t="s">
        <v>2279</v>
      </c>
    </row>
    <row r="1145" spans="1:4" x14ac:dyDescent="0.3">
      <c r="A1145" t="s">
        <v>287</v>
      </c>
      <c r="B1145" t="s">
        <v>2211</v>
      </c>
      <c r="C1145" t="s">
        <v>2280</v>
      </c>
      <c r="D1145" t="s">
        <v>2281</v>
      </c>
    </row>
    <row r="1146" spans="1:4" x14ac:dyDescent="0.3">
      <c r="A1146" t="s">
        <v>287</v>
      </c>
      <c r="B1146" t="s">
        <v>2211</v>
      </c>
      <c r="C1146" t="s">
        <v>2282</v>
      </c>
      <c r="D1146" t="s">
        <v>2283</v>
      </c>
    </row>
    <row r="1147" spans="1:4" x14ac:dyDescent="0.3">
      <c r="A1147" t="s">
        <v>287</v>
      </c>
      <c r="B1147" t="s">
        <v>2211</v>
      </c>
      <c r="C1147" t="s">
        <v>2284</v>
      </c>
      <c r="D1147" t="s">
        <v>2285</v>
      </c>
    </row>
    <row r="1148" spans="1:4" x14ac:dyDescent="0.3">
      <c r="A1148" t="s">
        <v>287</v>
      </c>
      <c r="B1148" t="s">
        <v>2211</v>
      </c>
      <c r="C1148" t="s">
        <v>2286</v>
      </c>
      <c r="D1148" t="s">
        <v>1897</v>
      </c>
    </row>
    <row r="1149" spans="1:4" x14ac:dyDescent="0.3">
      <c r="A1149" t="s">
        <v>287</v>
      </c>
      <c r="B1149" t="s">
        <v>2211</v>
      </c>
      <c r="C1149" t="s">
        <v>2287</v>
      </c>
      <c r="D1149" t="s">
        <v>2288</v>
      </c>
    </row>
    <row r="1150" spans="1:4" x14ac:dyDescent="0.3">
      <c r="A1150" t="s">
        <v>287</v>
      </c>
      <c r="B1150" t="s">
        <v>2211</v>
      </c>
      <c r="C1150" t="s">
        <v>2289</v>
      </c>
      <c r="D1150" t="s">
        <v>2290</v>
      </c>
    </row>
    <row r="1151" spans="1:4" x14ac:dyDescent="0.3">
      <c r="A1151" t="s">
        <v>287</v>
      </c>
      <c r="B1151" t="s">
        <v>2211</v>
      </c>
      <c r="C1151" t="s">
        <v>2291</v>
      </c>
      <c r="D1151" t="s">
        <v>2292</v>
      </c>
    </row>
    <row r="1152" spans="1:4" x14ac:dyDescent="0.3">
      <c r="A1152" t="s">
        <v>2293</v>
      </c>
      <c r="B1152" t="s">
        <v>2294</v>
      </c>
      <c r="C1152" t="s">
        <v>2295</v>
      </c>
      <c r="D1152" t="s">
        <v>2296</v>
      </c>
    </row>
    <row r="1153" spans="1:4" x14ac:dyDescent="0.3">
      <c r="A1153" t="s">
        <v>2293</v>
      </c>
      <c r="B1153" t="s">
        <v>2294</v>
      </c>
      <c r="C1153" t="s">
        <v>2061</v>
      </c>
      <c r="D1153" t="s">
        <v>2297</v>
      </c>
    </row>
    <row r="1154" spans="1:4" x14ac:dyDescent="0.3">
      <c r="A1154" t="s">
        <v>2293</v>
      </c>
      <c r="B1154" t="s">
        <v>2294</v>
      </c>
      <c r="C1154" t="s">
        <v>2298</v>
      </c>
      <c r="D1154" t="s">
        <v>2299</v>
      </c>
    </row>
    <row r="1155" spans="1:4" x14ac:dyDescent="0.3">
      <c r="A1155" t="s">
        <v>2293</v>
      </c>
      <c r="B1155" t="s">
        <v>2294</v>
      </c>
      <c r="C1155" t="s">
        <v>2300</v>
      </c>
      <c r="D1155" t="s">
        <v>2301</v>
      </c>
    </row>
    <row r="1156" spans="1:4" x14ac:dyDescent="0.3">
      <c r="A1156" t="s">
        <v>2293</v>
      </c>
      <c r="B1156" t="s">
        <v>2294</v>
      </c>
      <c r="C1156" t="s">
        <v>2302</v>
      </c>
      <c r="D1156" t="s">
        <v>2303</v>
      </c>
    </row>
    <row r="1157" spans="1:4" x14ac:dyDescent="0.3">
      <c r="A1157" t="s">
        <v>2293</v>
      </c>
      <c r="B1157" t="s">
        <v>2294</v>
      </c>
      <c r="C1157" t="s">
        <v>2304</v>
      </c>
      <c r="D1157" t="s">
        <v>2305</v>
      </c>
    </row>
    <row r="1158" spans="1:4" x14ac:dyDescent="0.3">
      <c r="A1158" t="s">
        <v>2293</v>
      </c>
      <c r="B1158" t="s">
        <v>2294</v>
      </c>
      <c r="C1158" t="s">
        <v>2306</v>
      </c>
      <c r="D1158" t="s">
        <v>2307</v>
      </c>
    </row>
    <row r="1159" spans="1:4" x14ac:dyDescent="0.3">
      <c r="A1159" t="s">
        <v>2293</v>
      </c>
      <c r="B1159" t="s">
        <v>2294</v>
      </c>
      <c r="C1159" t="s">
        <v>2308</v>
      </c>
      <c r="D1159" t="s">
        <v>2309</v>
      </c>
    </row>
    <row r="1160" spans="1:4" x14ac:dyDescent="0.3">
      <c r="A1160" t="s">
        <v>2293</v>
      </c>
      <c r="B1160" t="s">
        <v>2294</v>
      </c>
      <c r="C1160" t="s">
        <v>2310</v>
      </c>
      <c r="D1160" t="s">
        <v>2311</v>
      </c>
    </row>
    <row r="1161" spans="1:4" x14ac:dyDescent="0.3">
      <c r="A1161" t="s">
        <v>2293</v>
      </c>
      <c r="B1161" t="s">
        <v>2294</v>
      </c>
      <c r="C1161" t="s">
        <v>2312</v>
      </c>
      <c r="D1161" t="s">
        <v>1414</v>
      </c>
    </row>
    <row r="1162" spans="1:4" x14ac:dyDescent="0.3">
      <c r="A1162" t="s">
        <v>2293</v>
      </c>
      <c r="B1162" t="s">
        <v>2294</v>
      </c>
      <c r="C1162" t="s">
        <v>2313</v>
      </c>
      <c r="D1162" t="s">
        <v>2052</v>
      </c>
    </row>
    <row r="1163" spans="1:4" x14ac:dyDescent="0.3">
      <c r="A1163" t="s">
        <v>2293</v>
      </c>
      <c r="B1163" t="s">
        <v>2294</v>
      </c>
      <c r="C1163" t="s">
        <v>2314</v>
      </c>
      <c r="D1163" t="s">
        <v>2315</v>
      </c>
    </row>
    <row r="1164" spans="1:4" x14ac:dyDescent="0.3">
      <c r="A1164" t="s">
        <v>2293</v>
      </c>
      <c r="B1164" t="s">
        <v>2294</v>
      </c>
      <c r="C1164" t="s">
        <v>4152</v>
      </c>
      <c r="D1164" t="s">
        <v>1943</v>
      </c>
    </row>
    <row r="1165" spans="1:4" x14ac:dyDescent="0.3">
      <c r="A1165" t="s">
        <v>2293</v>
      </c>
      <c r="B1165" t="s">
        <v>2294</v>
      </c>
      <c r="C1165" t="s">
        <v>2316</v>
      </c>
      <c r="D1165" t="s">
        <v>2317</v>
      </c>
    </row>
    <row r="1166" spans="1:4" x14ac:dyDescent="0.3">
      <c r="A1166" t="s">
        <v>2318</v>
      </c>
      <c r="B1166" t="s">
        <v>2319</v>
      </c>
      <c r="C1166" t="s">
        <v>2320</v>
      </c>
      <c r="D1166" t="s">
        <v>2321</v>
      </c>
    </row>
    <row r="1167" spans="1:4" x14ac:dyDescent="0.3">
      <c r="A1167" t="s">
        <v>2318</v>
      </c>
      <c r="B1167" t="s">
        <v>2319</v>
      </c>
      <c r="C1167" t="s">
        <v>2322</v>
      </c>
      <c r="D1167" t="s">
        <v>2323</v>
      </c>
    </row>
    <row r="1168" spans="1:4" x14ac:dyDescent="0.3">
      <c r="A1168" t="s">
        <v>2318</v>
      </c>
      <c r="B1168" t="s">
        <v>2319</v>
      </c>
      <c r="C1168" t="s">
        <v>2324</v>
      </c>
      <c r="D1168" t="s">
        <v>2325</v>
      </c>
    </row>
    <row r="1169" spans="1:4" x14ac:dyDescent="0.3">
      <c r="A1169" t="s">
        <v>2318</v>
      </c>
      <c r="B1169" t="s">
        <v>2319</v>
      </c>
      <c r="C1169" t="s">
        <v>2326</v>
      </c>
      <c r="D1169" t="s">
        <v>2327</v>
      </c>
    </row>
    <row r="1170" spans="1:4" x14ac:dyDescent="0.3">
      <c r="A1170" t="s">
        <v>2318</v>
      </c>
      <c r="B1170" t="s">
        <v>2319</v>
      </c>
      <c r="C1170" t="s">
        <v>2328</v>
      </c>
      <c r="D1170" t="s">
        <v>2329</v>
      </c>
    </row>
    <row r="1171" spans="1:4" x14ac:dyDescent="0.3">
      <c r="A1171" t="s">
        <v>2318</v>
      </c>
      <c r="B1171" t="s">
        <v>2319</v>
      </c>
      <c r="C1171" t="s">
        <v>2330</v>
      </c>
      <c r="D1171" t="s">
        <v>2331</v>
      </c>
    </row>
    <row r="1172" spans="1:4" x14ac:dyDescent="0.3">
      <c r="A1172" t="s">
        <v>2318</v>
      </c>
      <c r="B1172" t="s">
        <v>2319</v>
      </c>
      <c r="C1172" t="s">
        <v>2332</v>
      </c>
      <c r="D1172" t="s">
        <v>2333</v>
      </c>
    </row>
    <row r="1173" spans="1:4" x14ac:dyDescent="0.3">
      <c r="A1173" t="s">
        <v>2318</v>
      </c>
      <c r="B1173" t="s">
        <v>2319</v>
      </c>
      <c r="C1173" t="s">
        <v>2334</v>
      </c>
      <c r="D1173" t="s">
        <v>2335</v>
      </c>
    </row>
    <row r="1174" spans="1:4" x14ac:dyDescent="0.3">
      <c r="A1174" t="s">
        <v>2318</v>
      </c>
      <c r="B1174" t="s">
        <v>2319</v>
      </c>
      <c r="C1174" t="s">
        <v>2336</v>
      </c>
      <c r="D1174" t="s">
        <v>2337</v>
      </c>
    </row>
    <row r="1175" spans="1:4" x14ac:dyDescent="0.3">
      <c r="A1175" t="s">
        <v>2318</v>
      </c>
      <c r="B1175" t="s">
        <v>2319</v>
      </c>
      <c r="C1175" t="s">
        <v>2338</v>
      </c>
      <c r="D1175" t="s">
        <v>2339</v>
      </c>
    </row>
    <row r="1176" spans="1:4" x14ac:dyDescent="0.3">
      <c r="A1176" t="s">
        <v>2318</v>
      </c>
      <c r="B1176" t="s">
        <v>2319</v>
      </c>
      <c r="C1176" t="s">
        <v>2340</v>
      </c>
      <c r="D1176" t="s">
        <v>2341</v>
      </c>
    </row>
    <row r="1177" spans="1:4" x14ac:dyDescent="0.3">
      <c r="A1177" t="s">
        <v>2318</v>
      </c>
      <c r="B1177" t="s">
        <v>2319</v>
      </c>
      <c r="C1177" t="s">
        <v>2342</v>
      </c>
      <c r="D1177" t="s">
        <v>2343</v>
      </c>
    </row>
    <row r="1178" spans="1:4" x14ac:dyDescent="0.3">
      <c r="A1178" t="s">
        <v>2318</v>
      </c>
      <c r="B1178" t="s">
        <v>2319</v>
      </c>
      <c r="C1178" t="s">
        <v>2344</v>
      </c>
      <c r="D1178" t="s">
        <v>2345</v>
      </c>
    </row>
    <row r="1179" spans="1:4" x14ac:dyDescent="0.3">
      <c r="A1179" t="s">
        <v>2318</v>
      </c>
      <c r="B1179" t="s">
        <v>2319</v>
      </c>
      <c r="C1179" t="s">
        <v>2346</v>
      </c>
      <c r="D1179" t="s">
        <v>2347</v>
      </c>
    </row>
    <row r="1180" spans="1:4" x14ac:dyDescent="0.3">
      <c r="A1180" t="s">
        <v>2318</v>
      </c>
      <c r="B1180" t="s">
        <v>2319</v>
      </c>
      <c r="C1180" t="s">
        <v>2348</v>
      </c>
      <c r="D1180" t="s">
        <v>2349</v>
      </c>
    </row>
    <row r="1181" spans="1:4" x14ac:dyDescent="0.3">
      <c r="A1181" t="s">
        <v>2318</v>
      </c>
      <c r="B1181" t="s">
        <v>2319</v>
      </c>
      <c r="C1181" t="s">
        <v>2350</v>
      </c>
      <c r="D1181" t="s">
        <v>2351</v>
      </c>
    </row>
    <row r="1182" spans="1:4" x14ac:dyDescent="0.3">
      <c r="A1182" t="s">
        <v>2318</v>
      </c>
      <c r="B1182" t="s">
        <v>2319</v>
      </c>
      <c r="C1182" t="s">
        <v>2352</v>
      </c>
      <c r="D1182" t="s">
        <v>2353</v>
      </c>
    </row>
    <row r="1183" spans="1:4" x14ac:dyDescent="0.3">
      <c r="A1183" t="s">
        <v>2318</v>
      </c>
      <c r="B1183" t="s">
        <v>2319</v>
      </c>
      <c r="C1183" t="s">
        <v>2354</v>
      </c>
      <c r="D1183" t="s">
        <v>2355</v>
      </c>
    </row>
    <row r="1184" spans="1:4" x14ac:dyDescent="0.3">
      <c r="A1184" t="s">
        <v>2318</v>
      </c>
      <c r="B1184" t="s">
        <v>2319</v>
      </c>
      <c r="C1184" t="s">
        <v>2356</v>
      </c>
      <c r="D1184" t="s">
        <v>2357</v>
      </c>
    </row>
    <row r="1185" spans="1:4" x14ac:dyDescent="0.3">
      <c r="A1185" t="s">
        <v>2318</v>
      </c>
      <c r="B1185" t="s">
        <v>2319</v>
      </c>
      <c r="C1185" t="s">
        <v>2358</v>
      </c>
      <c r="D1185" t="s">
        <v>2359</v>
      </c>
    </row>
    <row r="1186" spans="1:4" x14ac:dyDescent="0.3">
      <c r="A1186" t="s">
        <v>2360</v>
      </c>
      <c r="B1186" t="s">
        <v>2361</v>
      </c>
      <c r="C1186" t="s">
        <v>2362</v>
      </c>
      <c r="D1186" t="s">
        <v>2363</v>
      </c>
    </row>
    <row r="1187" spans="1:4" x14ac:dyDescent="0.3">
      <c r="A1187" t="s">
        <v>2360</v>
      </c>
      <c r="B1187" t="s">
        <v>2361</v>
      </c>
      <c r="C1187" t="s">
        <v>2364</v>
      </c>
      <c r="D1187" t="s">
        <v>2365</v>
      </c>
    </row>
    <row r="1188" spans="1:4" x14ac:dyDescent="0.3">
      <c r="A1188" t="s">
        <v>2360</v>
      </c>
      <c r="B1188" t="s">
        <v>2361</v>
      </c>
      <c r="C1188" t="s">
        <v>2366</v>
      </c>
      <c r="D1188" t="s">
        <v>2367</v>
      </c>
    </row>
    <row r="1189" spans="1:4" x14ac:dyDescent="0.3">
      <c r="A1189" t="s">
        <v>2360</v>
      </c>
      <c r="B1189" t="s">
        <v>2361</v>
      </c>
      <c r="C1189" t="s">
        <v>2368</v>
      </c>
      <c r="D1189" t="s">
        <v>2369</v>
      </c>
    </row>
    <row r="1190" spans="1:4" x14ac:dyDescent="0.3">
      <c r="A1190" t="s">
        <v>2360</v>
      </c>
      <c r="B1190" t="s">
        <v>2361</v>
      </c>
      <c r="C1190" t="s">
        <v>2370</v>
      </c>
      <c r="D1190" t="s">
        <v>726</v>
      </c>
    </row>
    <row r="1191" spans="1:4" x14ac:dyDescent="0.3">
      <c r="A1191" t="s">
        <v>2360</v>
      </c>
      <c r="B1191" t="s">
        <v>2361</v>
      </c>
      <c r="C1191" t="s">
        <v>2371</v>
      </c>
      <c r="D1191" t="s">
        <v>2372</v>
      </c>
    </row>
    <row r="1192" spans="1:4" x14ac:dyDescent="0.3">
      <c r="A1192" t="s">
        <v>2360</v>
      </c>
      <c r="B1192" t="s">
        <v>2361</v>
      </c>
      <c r="C1192" t="s">
        <v>2373</v>
      </c>
      <c r="D1192" t="s">
        <v>2374</v>
      </c>
    </row>
    <row r="1193" spans="1:4" x14ac:dyDescent="0.3">
      <c r="A1193" t="s">
        <v>2360</v>
      </c>
      <c r="B1193" t="s">
        <v>2361</v>
      </c>
      <c r="C1193" t="s">
        <v>2375</v>
      </c>
      <c r="D1193" t="s">
        <v>2376</v>
      </c>
    </row>
    <row r="1194" spans="1:4" x14ac:dyDescent="0.3">
      <c r="A1194" t="s">
        <v>2360</v>
      </c>
      <c r="B1194" t="s">
        <v>2361</v>
      </c>
      <c r="C1194" t="s">
        <v>2377</v>
      </c>
      <c r="D1194" t="s">
        <v>2378</v>
      </c>
    </row>
    <row r="1195" spans="1:4" x14ac:dyDescent="0.3">
      <c r="A1195" t="s">
        <v>2360</v>
      </c>
      <c r="B1195" t="s">
        <v>2361</v>
      </c>
      <c r="C1195" t="s">
        <v>2379</v>
      </c>
      <c r="D1195" t="s">
        <v>2380</v>
      </c>
    </row>
    <row r="1196" spans="1:4" x14ac:dyDescent="0.3">
      <c r="A1196" t="s">
        <v>2360</v>
      </c>
      <c r="B1196" t="s">
        <v>2361</v>
      </c>
      <c r="C1196" t="s">
        <v>2381</v>
      </c>
      <c r="D1196" t="s">
        <v>2382</v>
      </c>
    </row>
    <row r="1197" spans="1:4" x14ac:dyDescent="0.3">
      <c r="A1197" t="s">
        <v>2360</v>
      </c>
      <c r="B1197" t="s">
        <v>2361</v>
      </c>
      <c r="C1197" t="s">
        <v>2383</v>
      </c>
      <c r="D1197" t="s">
        <v>2384</v>
      </c>
    </row>
    <row r="1198" spans="1:4" x14ac:dyDescent="0.3">
      <c r="A1198" t="s">
        <v>2360</v>
      </c>
      <c r="B1198" t="s">
        <v>2361</v>
      </c>
      <c r="C1198" t="s">
        <v>2385</v>
      </c>
      <c r="D1198" t="s">
        <v>2386</v>
      </c>
    </row>
    <row r="1199" spans="1:4" x14ac:dyDescent="0.3">
      <c r="A1199" t="s">
        <v>2360</v>
      </c>
      <c r="B1199" t="s">
        <v>2361</v>
      </c>
      <c r="C1199" t="s">
        <v>2387</v>
      </c>
      <c r="D1199" t="s">
        <v>2388</v>
      </c>
    </row>
    <row r="1200" spans="1:4" x14ac:dyDescent="0.3">
      <c r="A1200" t="s">
        <v>2360</v>
      </c>
      <c r="B1200" t="s">
        <v>2361</v>
      </c>
      <c r="C1200" t="s">
        <v>2389</v>
      </c>
      <c r="D1200" t="s">
        <v>2390</v>
      </c>
    </row>
    <row r="1201" spans="1:4" x14ac:dyDescent="0.3">
      <c r="A1201" t="s">
        <v>2360</v>
      </c>
      <c r="B1201" t="s">
        <v>2361</v>
      </c>
      <c r="C1201" t="s">
        <v>2391</v>
      </c>
      <c r="D1201" t="s">
        <v>2392</v>
      </c>
    </row>
    <row r="1202" spans="1:4" x14ac:dyDescent="0.3">
      <c r="A1202" t="s">
        <v>2360</v>
      </c>
      <c r="B1202" t="s">
        <v>2361</v>
      </c>
      <c r="C1202" t="s">
        <v>2393</v>
      </c>
      <c r="D1202" t="s">
        <v>2394</v>
      </c>
    </row>
    <row r="1203" spans="1:4" x14ac:dyDescent="0.3">
      <c r="A1203" t="s">
        <v>2360</v>
      </c>
      <c r="B1203" t="s">
        <v>2361</v>
      </c>
      <c r="C1203" t="s">
        <v>2395</v>
      </c>
      <c r="D1203" t="s">
        <v>2396</v>
      </c>
    </row>
    <row r="1204" spans="1:4" x14ac:dyDescent="0.3">
      <c r="A1204" t="s">
        <v>2360</v>
      </c>
      <c r="B1204" t="s">
        <v>2361</v>
      </c>
      <c r="C1204" t="s">
        <v>2397</v>
      </c>
      <c r="D1204" t="s">
        <v>2398</v>
      </c>
    </row>
    <row r="1205" spans="1:4" x14ac:dyDescent="0.3">
      <c r="A1205" t="s">
        <v>2360</v>
      </c>
      <c r="B1205" t="s">
        <v>2361</v>
      </c>
      <c r="C1205" t="s">
        <v>2399</v>
      </c>
      <c r="D1205" t="s">
        <v>2400</v>
      </c>
    </row>
    <row r="1206" spans="1:4" x14ac:dyDescent="0.3">
      <c r="A1206" t="s">
        <v>2360</v>
      </c>
      <c r="B1206" t="s">
        <v>2361</v>
      </c>
      <c r="C1206" t="s">
        <v>2401</v>
      </c>
      <c r="D1206" t="s">
        <v>2402</v>
      </c>
    </row>
    <row r="1207" spans="1:4" x14ac:dyDescent="0.3">
      <c r="A1207" t="s">
        <v>2360</v>
      </c>
      <c r="B1207" t="s">
        <v>2361</v>
      </c>
      <c r="C1207" t="s">
        <v>2403</v>
      </c>
      <c r="D1207" t="s">
        <v>2404</v>
      </c>
    </row>
    <row r="1208" spans="1:4" x14ac:dyDescent="0.3">
      <c r="A1208" t="s">
        <v>2360</v>
      </c>
      <c r="B1208" t="s">
        <v>2361</v>
      </c>
      <c r="C1208" t="s">
        <v>2405</v>
      </c>
      <c r="D1208" t="s">
        <v>2406</v>
      </c>
    </row>
    <row r="1209" spans="1:4" x14ac:dyDescent="0.3">
      <c r="A1209" t="s">
        <v>2360</v>
      </c>
      <c r="B1209" t="s">
        <v>2361</v>
      </c>
      <c r="C1209" t="s">
        <v>2407</v>
      </c>
      <c r="D1209" t="s">
        <v>1019</v>
      </c>
    </row>
    <row r="1210" spans="1:4" x14ac:dyDescent="0.3">
      <c r="A1210" t="s">
        <v>1940</v>
      </c>
      <c r="B1210" t="s">
        <v>2408</v>
      </c>
      <c r="C1210" t="s">
        <v>2409</v>
      </c>
      <c r="D1210" t="s">
        <v>2410</v>
      </c>
    </row>
    <row r="1211" spans="1:4" x14ac:dyDescent="0.3">
      <c r="A1211" t="s">
        <v>1940</v>
      </c>
      <c r="B1211" t="s">
        <v>2408</v>
      </c>
      <c r="C1211" t="s">
        <v>2411</v>
      </c>
      <c r="D1211" t="s">
        <v>2412</v>
      </c>
    </row>
    <row r="1212" spans="1:4" x14ac:dyDescent="0.3">
      <c r="A1212" t="s">
        <v>1940</v>
      </c>
      <c r="B1212" t="s">
        <v>2408</v>
      </c>
      <c r="C1212" t="s">
        <v>2413</v>
      </c>
      <c r="D1212" t="s">
        <v>2414</v>
      </c>
    </row>
    <row r="1213" spans="1:4" x14ac:dyDescent="0.3">
      <c r="A1213" t="s">
        <v>1940</v>
      </c>
      <c r="B1213" t="s">
        <v>2408</v>
      </c>
      <c r="C1213" t="s">
        <v>2415</v>
      </c>
      <c r="D1213" t="s">
        <v>2416</v>
      </c>
    </row>
    <row r="1214" spans="1:4" x14ac:dyDescent="0.3">
      <c r="A1214" t="s">
        <v>1940</v>
      </c>
      <c r="B1214" t="s">
        <v>2408</v>
      </c>
      <c r="C1214" t="s">
        <v>2417</v>
      </c>
      <c r="D1214" t="s">
        <v>2418</v>
      </c>
    </row>
    <row r="1215" spans="1:4" x14ac:dyDescent="0.3">
      <c r="A1215" t="s">
        <v>1940</v>
      </c>
      <c r="B1215" t="s">
        <v>2408</v>
      </c>
      <c r="C1215" t="s">
        <v>2419</v>
      </c>
      <c r="D1215" t="s">
        <v>2420</v>
      </c>
    </row>
    <row r="1216" spans="1:4" x14ac:dyDescent="0.3">
      <c r="A1216" t="s">
        <v>1940</v>
      </c>
      <c r="B1216" t="s">
        <v>2408</v>
      </c>
      <c r="C1216" t="s">
        <v>2421</v>
      </c>
      <c r="D1216" t="s">
        <v>2422</v>
      </c>
    </row>
    <row r="1217" spans="1:4" x14ac:dyDescent="0.3">
      <c r="A1217" t="s">
        <v>1940</v>
      </c>
      <c r="B1217" t="s">
        <v>2408</v>
      </c>
      <c r="C1217" t="s">
        <v>2423</v>
      </c>
      <c r="D1217" t="s">
        <v>2424</v>
      </c>
    </row>
    <row r="1218" spans="1:4" x14ac:dyDescent="0.3">
      <c r="A1218" t="s">
        <v>1940</v>
      </c>
      <c r="B1218" t="s">
        <v>2408</v>
      </c>
      <c r="C1218" t="s">
        <v>2425</v>
      </c>
      <c r="D1218" t="s">
        <v>2426</v>
      </c>
    </row>
    <row r="1219" spans="1:4" x14ac:dyDescent="0.3">
      <c r="A1219" t="s">
        <v>1940</v>
      </c>
      <c r="B1219" t="s">
        <v>2408</v>
      </c>
      <c r="C1219" t="s">
        <v>2427</v>
      </c>
      <c r="D1219" t="s">
        <v>2428</v>
      </c>
    </row>
    <row r="1220" spans="1:4" x14ac:dyDescent="0.3">
      <c r="A1220" t="s">
        <v>1940</v>
      </c>
      <c r="B1220" t="s">
        <v>2408</v>
      </c>
      <c r="C1220" t="s">
        <v>2429</v>
      </c>
      <c r="D1220" t="s">
        <v>2430</v>
      </c>
    </row>
    <row r="1221" spans="1:4" x14ac:dyDescent="0.3">
      <c r="A1221" t="s">
        <v>1940</v>
      </c>
      <c r="B1221" t="s">
        <v>2408</v>
      </c>
      <c r="C1221" t="s">
        <v>2431</v>
      </c>
      <c r="D1221" t="s">
        <v>2432</v>
      </c>
    </row>
    <row r="1222" spans="1:4" x14ac:dyDescent="0.3">
      <c r="A1222" t="s">
        <v>1940</v>
      </c>
      <c r="B1222" t="s">
        <v>2408</v>
      </c>
      <c r="C1222" t="s">
        <v>2433</v>
      </c>
      <c r="D1222" t="s">
        <v>2434</v>
      </c>
    </row>
    <row r="1223" spans="1:4" x14ac:dyDescent="0.3">
      <c r="A1223" t="s">
        <v>1940</v>
      </c>
      <c r="B1223" t="s">
        <v>2408</v>
      </c>
      <c r="C1223" t="s">
        <v>2435</v>
      </c>
      <c r="D1223" t="s">
        <v>2436</v>
      </c>
    </row>
    <row r="1224" spans="1:4" x14ac:dyDescent="0.3">
      <c r="A1224" t="s">
        <v>1940</v>
      </c>
      <c r="B1224" t="s">
        <v>2408</v>
      </c>
      <c r="C1224" t="s">
        <v>2437</v>
      </c>
      <c r="D1224" t="s">
        <v>2438</v>
      </c>
    </row>
    <row r="1225" spans="1:4" x14ac:dyDescent="0.3">
      <c r="A1225" t="s">
        <v>1940</v>
      </c>
      <c r="B1225" t="s">
        <v>2408</v>
      </c>
      <c r="C1225" t="s">
        <v>2439</v>
      </c>
      <c r="D1225" t="s">
        <v>2440</v>
      </c>
    </row>
    <row r="1226" spans="1:4" x14ac:dyDescent="0.3">
      <c r="A1226" t="s">
        <v>1940</v>
      </c>
      <c r="B1226" t="s">
        <v>2408</v>
      </c>
      <c r="C1226" t="s">
        <v>2441</v>
      </c>
      <c r="D1226" t="s">
        <v>2442</v>
      </c>
    </row>
    <row r="1227" spans="1:4" x14ac:dyDescent="0.3">
      <c r="A1227" t="s">
        <v>1940</v>
      </c>
      <c r="B1227" t="s">
        <v>2408</v>
      </c>
      <c r="C1227" t="s">
        <v>2443</v>
      </c>
      <c r="D1227" t="s">
        <v>2444</v>
      </c>
    </row>
    <row r="1228" spans="1:4" x14ac:dyDescent="0.3">
      <c r="A1228" t="s">
        <v>1940</v>
      </c>
      <c r="B1228" t="s">
        <v>2408</v>
      </c>
      <c r="C1228" t="s">
        <v>2445</v>
      </c>
      <c r="D1228" t="s">
        <v>2446</v>
      </c>
    </row>
    <row r="1229" spans="1:4" x14ac:dyDescent="0.3">
      <c r="A1229" t="s">
        <v>1940</v>
      </c>
      <c r="B1229" t="s">
        <v>2408</v>
      </c>
      <c r="C1229" t="s">
        <v>2447</v>
      </c>
      <c r="D1229" t="s">
        <v>2448</v>
      </c>
    </row>
    <row r="1230" spans="1:4" x14ac:dyDescent="0.3">
      <c r="A1230" t="s">
        <v>1411</v>
      </c>
      <c r="B1230" t="s">
        <v>2449</v>
      </c>
      <c r="C1230" t="s">
        <v>2450</v>
      </c>
      <c r="D1230" t="s">
        <v>4157</v>
      </c>
    </row>
    <row r="1231" spans="1:4" x14ac:dyDescent="0.3">
      <c r="A1231" t="s">
        <v>1411</v>
      </c>
      <c r="B1231" t="s">
        <v>2449</v>
      </c>
      <c r="C1231" t="s">
        <v>2451</v>
      </c>
      <c r="D1231" t="s">
        <v>2452</v>
      </c>
    </row>
    <row r="1232" spans="1:4" x14ac:dyDescent="0.3">
      <c r="A1232" t="s">
        <v>1411</v>
      </c>
      <c r="B1232" t="s">
        <v>2449</v>
      </c>
      <c r="C1232" t="s">
        <v>2453</v>
      </c>
      <c r="D1232" t="s">
        <v>2454</v>
      </c>
    </row>
    <row r="1233" spans="1:4" x14ac:dyDescent="0.3">
      <c r="A1233" t="s">
        <v>1411</v>
      </c>
      <c r="B1233" t="s">
        <v>2449</v>
      </c>
      <c r="C1233" t="s">
        <v>2455</v>
      </c>
      <c r="D1233" t="s">
        <v>4159</v>
      </c>
    </row>
    <row r="1234" spans="1:4" x14ac:dyDescent="0.3">
      <c r="A1234" t="s">
        <v>1411</v>
      </c>
      <c r="B1234" t="s">
        <v>2449</v>
      </c>
      <c r="C1234" t="s">
        <v>2456</v>
      </c>
      <c r="D1234" t="s">
        <v>2457</v>
      </c>
    </row>
    <row r="1235" spans="1:4" x14ac:dyDescent="0.3">
      <c r="A1235" t="s">
        <v>1411</v>
      </c>
      <c r="B1235" t="s">
        <v>2449</v>
      </c>
      <c r="C1235" t="s">
        <v>2458</v>
      </c>
      <c r="D1235" t="s">
        <v>2459</v>
      </c>
    </row>
    <row r="1236" spans="1:4" x14ac:dyDescent="0.3">
      <c r="A1236" t="s">
        <v>1411</v>
      </c>
      <c r="B1236" t="s">
        <v>2449</v>
      </c>
      <c r="C1236" t="s">
        <v>2460</v>
      </c>
      <c r="D1236" t="s">
        <v>4155</v>
      </c>
    </row>
    <row r="1237" spans="1:4" x14ac:dyDescent="0.3">
      <c r="A1237" t="s">
        <v>1411</v>
      </c>
      <c r="B1237" t="s">
        <v>2449</v>
      </c>
      <c r="C1237" t="s">
        <v>4162</v>
      </c>
      <c r="D1237" t="s">
        <v>4163</v>
      </c>
    </row>
    <row r="1238" spans="1:4" x14ac:dyDescent="0.3">
      <c r="A1238" t="s">
        <v>1411</v>
      </c>
      <c r="B1238" t="s">
        <v>2449</v>
      </c>
      <c r="C1238" t="s">
        <v>2462</v>
      </c>
      <c r="D1238" t="s">
        <v>2463</v>
      </c>
    </row>
    <row r="1239" spans="1:4" x14ac:dyDescent="0.3">
      <c r="A1239" t="s">
        <v>1411</v>
      </c>
      <c r="B1239" t="s">
        <v>2449</v>
      </c>
      <c r="C1239" t="s">
        <v>2464</v>
      </c>
      <c r="D1239" t="s">
        <v>4160</v>
      </c>
    </row>
    <row r="1240" spans="1:4" x14ac:dyDescent="0.3">
      <c r="A1240" t="s">
        <v>1411</v>
      </c>
      <c r="B1240" t="s">
        <v>2449</v>
      </c>
      <c r="C1240" t="s">
        <v>2465</v>
      </c>
      <c r="D1240" t="s">
        <v>4161</v>
      </c>
    </row>
    <row r="1241" spans="1:4" x14ac:dyDescent="0.3">
      <c r="A1241" t="s">
        <v>1411</v>
      </c>
      <c r="B1241" t="s">
        <v>2449</v>
      </c>
      <c r="C1241" t="s">
        <v>2461</v>
      </c>
      <c r="D1241" t="s">
        <v>4158</v>
      </c>
    </row>
    <row r="1242" spans="1:4" x14ac:dyDescent="0.3">
      <c r="A1242" t="s">
        <v>1411</v>
      </c>
      <c r="B1242" t="s">
        <v>2449</v>
      </c>
      <c r="C1242" t="s">
        <v>2466</v>
      </c>
      <c r="D1242" t="s">
        <v>4166</v>
      </c>
    </row>
    <row r="1243" spans="1:4" x14ac:dyDescent="0.3">
      <c r="A1243" t="s">
        <v>1411</v>
      </c>
      <c r="B1243" t="s">
        <v>2449</v>
      </c>
      <c r="C1243" t="s">
        <v>58</v>
      </c>
      <c r="D1243" t="s">
        <v>2467</v>
      </c>
    </row>
    <row r="1244" spans="1:4" x14ac:dyDescent="0.3">
      <c r="A1244" t="s">
        <v>1411</v>
      </c>
      <c r="B1244" t="s">
        <v>2449</v>
      </c>
      <c r="C1244" t="s">
        <v>2468</v>
      </c>
      <c r="D1244" t="s">
        <v>4165</v>
      </c>
    </row>
    <row r="1245" spans="1:4" x14ac:dyDescent="0.3">
      <c r="A1245" t="s">
        <v>1411</v>
      </c>
      <c r="B1245" t="s">
        <v>2449</v>
      </c>
      <c r="C1245" t="s">
        <v>2469</v>
      </c>
      <c r="D1245" t="s">
        <v>4164</v>
      </c>
    </row>
    <row r="1246" spans="1:4" x14ac:dyDescent="0.3">
      <c r="A1246" t="s">
        <v>1411</v>
      </c>
      <c r="B1246" t="s">
        <v>2449</v>
      </c>
      <c r="C1246" t="s">
        <v>2470</v>
      </c>
      <c r="D1246" t="s">
        <v>4153</v>
      </c>
    </row>
    <row r="1247" spans="1:4" x14ac:dyDescent="0.3">
      <c r="A1247" t="s">
        <v>1411</v>
      </c>
      <c r="B1247" t="s">
        <v>2449</v>
      </c>
      <c r="C1247" t="s">
        <v>2471</v>
      </c>
      <c r="D1247" t="s">
        <v>2472</v>
      </c>
    </row>
    <row r="1248" spans="1:4" x14ac:dyDescent="0.3">
      <c r="A1248" t="s">
        <v>1411</v>
      </c>
      <c r="B1248" t="s">
        <v>2449</v>
      </c>
      <c r="C1248" t="s">
        <v>2473</v>
      </c>
      <c r="D1248" t="s">
        <v>4154</v>
      </c>
    </row>
    <row r="1249" spans="1:4" x14ac:dyDescent="0.3">
      <c r="A1249" t="s">
        <v>1411</v>
      </c>
      <c r="B1249" t="s">
        <v>2449</v>
      </c>
      <c r="C1249" t="s">
        <v>2476</v>
      </c>
      <c r="D1249" t="s">
        <v>4285</v>
      </c>
    </row>
    <row r="1250" spans="1:4" x14ac:dyDescent="0.3">
      <c r="A1250" t="s">
        <v>1411</v>
      </c>
      <c r="B1250" t="s">
        <v>2449</v>
      </c>
      <c r="C1250" t="s">
        <v>2474</v>
      </c>
      <c r="D1250" t="s">
        <v>2475</v>
      </c>
    </row>
    <row r="1251" spans="1:4" x14ac:dyDescent="0.3">
      <c r="A1251" t="s">
        <v>2477</v>
      </c>
      <c r="B1251" t="s">
        <v>2478</v>
      </c>
      <c r="C1251" t="s">
        <v>2479</v>
      </c>
      <c r="D1251" t="s">
        <v>2480</v>
      </c>
    </row>
    <row r="1252" spans="1:4" x14ac:dyDescent="0.3">
      <c r="A1252" t="s">
        <v>2477</v>
      </c>
      <c r="B1252" t="s">
        <v>2478</v>
      </c>
      <c r="C1252" t="s">
        <v>2481</v>
      </c>
      <c r="D1252" t="s">
        <v>2482</v>
      </c>
    </row>
    <row r="1253" spans="1:4" x14ac:dyDescent="0.3">
      <c r="A1253" t="s">
        <v>2477</v>
      </c>
      <c r="B1253" t="s">
        <v>2478</v>
      </c>
      <c r="C1253" t="s">
        <v>2483</v>
      </c>
      <c r="D1253" t="s">
        <v>4167</v>
      </c>
    </row>
    <row r="1254" spans="1:4" x14ac:dyDescent="0.3">
      <c r="A1254" t="s">
        <v>2477</v>
      </c>
      <c r="B1254" t="s">
        <v>2478</v>
      </c>
      <c r="C1254" t="s">
        <v>2485</v>
      </c>
      <c r="D1254" t="s">
        <v>2486</v>
      </c>
    </row>
    <row r="1255" spans="1:4" x14ac:dyDescent="0.3">
      <c r="A1255" t="s">
        <v>2477</v>
      </c>
      <c r="B1255" t="s">
        <v>2478</v>
      </c>
      <c r="C1255" t="s">
        <v>2484</v>
      </c>
      <c r="D1255" t="s">
        <v>4217</v>
      </c>
    </row>
    <row r="1256" spans="1:4" x14ac:dyDescent="0.3">
      <c r="A1256" t="s">
        <v>2477</v>
      </c>
      <c r="B1256" t="s">
        <v>2478</v>
      </c>
      <c r="C1256" t="s">
        <v>2487</v>
      </c>
      <c r="D1256" t="s">
        <v>2488</v>
      </c>
    </row>
    <row r="1257" spans="1:4" x14ac:dyDescent="0.3">
      <c r="A1257" t="s">
        <v>2477</v>
      </c>
      <c r="B1257" t="s">
        <v>2478</v>
      </c>
      <c r="C1257" t="s">
        <v>2489</v>
      </c>
      <c r="D1257" t="s">
        <v>2490</v>
      </c>
    </row>
    <row r="1258" spans="1:4" x14ac:dyDescent="0.3">
      <c r="A1258" t="s">
        <v>2477</v>
      </c>
      <c r="B1258" t="s">
        <v>2478</v>
      </c>
      <c r="C1258" t="s">
        <v>2491</v>
      </c>
      <c r="D1258" t="s">
        <v>2492</v>
      </c>
    </row>
    <row r="1259" spans="1:4" x14ac:dyDescent="0.3">
      <c r="A1259" t="s">
        <v>2477</v>
      </c>
      <c r="B1259" t="s">
        <v>2478</v>
      </c>
      <c r="C1259" t="s">
        <v>2493</v>
      </c>
      <c r="D1259" t="s">
        <v>2494</v>
      </c>
    </row>
    <row r="1260" spans="1:4" x14ac:dyDescent="0.3">
      <c r="A1260" t="s">
        <v>2477</v>
      </c>
      <c r="B1260" t="s">
        <v>2478</v>
      </c>
      <c r="C1260" t="s">
        <v>2495</v>
      </c>
      <c r="D1260" t="s">
        <v>2496</v>
      </c>
    </row>
    <row r="1261" spans="1:4" x14ac:dyDescent="0.3">
      <c r="A1261" t="s">
        <v>2477</v>
      </c>
      <c r="B1261" t="s">
        <v>2478</v>
      </c>
      <c r="C1261" t="s">
        <v>2497</v>
      </c>
      <c r="D1261" t="s">
        <v>2498</v>
      </c>
    </row>
    <row r="1262" spans="1:4" x14ac:dyDescent="0.3">
      <c r="A1262" t="s">
        <v>2477</v>
      </c>
      <c r="B1262" t="s">
        <v>2478</v>
      </c>
      <c r="C1262" t="s">
        <v>2499</v>
      </c>
      <c r="D1262" t="s">
        <v>2500</v>
      </c>
    </row>
    <row r="1263" spans="1:4" x14ac:dyDescent="0.3">
      <c r="A1263" t="s">
        <v>2477</v>
      </c>
      <c r="B1263" t="s">
        <v>2478</v>
      </c>
      <c r="C1263" t="s">
        <v>2501</v>
      </c>
      <c r="D1263" t="s">
        <v>2502</v>
      </c>
    </row>
    <row r="1264" spans="1:4" x14ac:dyDescent="0.3">
      <c r="A1264" t="s">
        <v>2477</v>
      </c>
      <c r="B1264" t="s">
        <v>2478</v>
      </c>
      <c r="C1264" t="s">
        <v>2503</v>
      </c>
      <c r="D1264" t="s">
        <v>2504</v>
      </c>
    </row>
    <row r="1265" spans="1:4" x14ac:dyDescent="0.3">
      <c r="A1265" t="s">
        <v>2477</v>
      </c>
      <c r="B1265" t="s">
        <v>2478</v>
      </c>
      <c r="C1265" t="s">
        <v>2505</v>
      </c>
      <c r="D1265" t="s">
        <v>2506</v>
      </c>
    </row>
    <row r="1266" spans="1:4" x14ac:dyDescent="0.3">
      <c r="A1266" t="s">
        <v>2477</v>
      </c>
      <c r="B1266" t="s">
        <v>2478</v>
      </c>
      <c r="C1266" t="s">
        <v>2507</v>
      </c>
      <c r="D1266" t="s">
        <v>2508</v>
      </c>
    </row>
    <row r="1267" spans="1:4" x14ac:dyDescent="0.3">
      <c r="A1267" t="s">
        <v>2477</v>
      </c>
      <c r="B1267" t="s">
        <v>2478</v>
      </c>
      <c r="C1267" t="s">
        <v>2509</v>
      </c>
      <c r="D1267" t="s">
        <v>2510</v>
      </c>
    </row>
    <row r="1268" spans="1:4" x14ac:dyDescent="0.3">
      <c r="A1268" t="s">
        <v>2477</v>
      </c>
      <c r="B1268" t="s">
        <v>2478</v>
      </c>
      <c r="C1268" t="s">
        <v>2511</v>
      </c>
      <c r="D1268" t="s">
        <v>2512</v>
      </c>
    </row>
    <row r="1269" spans="1:4" x14ac:dyDescent="0.3">
      <c r="A1269" t="s">
        <v>1245</v>
      </c>
      <c r="B1269" t="s">
        <v>2513</v>
      </c>
      <c r="C1269" t="s">
        <v>2514</v>
      </c>
      <c r="D1269" t="s">
        <v>2515</v>
      </c>
    </row>
    <row r="1270" spans="1:4" x14ac:dyDescent="0.3">
      <c r="A1270" t="s">
        <v>1245</v>
      </c>
      <c r="B1270" t="s">
        <v>2513</v>
      </c>
      <c r="C1270" t="s">
        <v>2516</v>
      </c>
      <c r="D1270" t="s">
        <v>2517</v>
      </c>
    </row>
    <row r="1271" spans="1:4" x14ac:dyDescent="0.3">
      <c r="A1271" t="s">
        <v>1245</v>
      </c>
      <c r="B1271" t="s">
        <v>2513</v>
      </c>
      <c r="C1271" t="s">
        <v>2518</v>
      </c>
      <c r="D1271" t="s">
        <v>2519</v>
      </c>
    </row>
    <row r="1272" spans="1:4" x14ac:dyDescent="0.3">
      <c r="A1272" t="s">
        <v>1245</v>
      </c>
      <c r="B1272" t="s">
        <v>2513</v>
      </c>
      <c r="C1272" t="s">
        <v>2520</v>
      </c>
      <c r="D1272" t="s">
        <v>2521</v>
      </c>
    </row>
    <row r="1273" spans="1:4" x14ac:dyDescent="0.3">
      <c r="A1273" t="s">
        <v>1245</v>
      </c>
      <c r="B1273" t="s">
        <v>2513</v>
      </c>
      <c r="C1273" t="s">
        <v>2522</v>
      </c>
      <c r="D1273" t="s">
        <v>2523</v>
      </c>
    </row>
    <row r="1274" spans="1:4" x14ac:dyDescent="0.3">
      <c r="A1274" t="s">
        <v>1245</v>
      </c>
      <c r="B1274" t="s">
        <v>2513</v>
      </c>
      <c r="C1274" t="s">
        <v>2524</v>
      </c>
      <c r="D1274" t="s">
        <v>2525</v>
      </c>
    </row>
    <row r="1275" spans="1:4" x14ac:dyDescent="0.3">
      <c r="A1275" t="s">
        <v>1245</v>
      </c>
      <c r="B1275" t="s">
        <v>2513</v>
      </c>
      <c r="C1275" t="s">
        <v>2526</v>
      </c>
      <c r="D1275" t="s">
        <v>2527</v>
      </c>
    </row>
    <row r="1276" spans="1:4" x14ac:dyDescent="0.3">
      <c r="A1276" t="s">
        <v>1245</v>
      </c>
      <c r="B1276" t="s">
        <v>2513</v>
      </c>
      <c r="C1276" t="s">
        <v>2528</v>
      </c>
      <c r="D1276" t="s">
        <v>2529</v>
      </c>
    </row>
    <row r="1277" spans="1:4" x14ac:dyDescent="0.3">
      <c r="A1277" t="s">
        <v>1245</v>
      </c>
      <c r="B1277" t="s">
        <v>2513</v>
      </c>
      <c r="C1277" t="s">
        <v>2530</v>
      </c>
      <c r="D1277" t="s">
        <v>2531</v>
      </c>
    </row>
    <row r="1278" spans="1:4" x14ac:dyDescent="0.3">
      <c r="A1278" t="s">
        <v>1245</v>
      </c>
      <c r="B1278" t="s">
        <v>2513</v>
      </c>
      <c r="C1278" t="s">
        <v>2532</v>
      </c>
      <c r="D1278" t="s">
        <v>2533</v>
      </c>
    </row>
    <row r="1279" spans="1:4" x14ac:dyDescent="0.3">
      <c r="A1279" t="s">
        <v>1245</v>
      </c>
      <c r="B1279" t="s">
        <v>2513</v>
      </c>
      <c r="C1279" t="s">
        <v>2534</v>
      </c>
      <c r="D1279" t="s">
        <v>2535</v>
      </c>
    </row>
    <row r="1280" spans="1:4" x14ac:dyDescent="0.3">
      <c r="A1280" t="s">
        <v>1245</v>
      </c>
      <c r="B1280" t="s">
        <v>2513</v>
      </c>
      <c r="C1280" t="s">
        <v>2536</v>
      </c>
      <c r="D1280" t="s">
        <v>2537</v>
      </c>
    </row>
    <row r="1281" spans="1:4" x14ac:dyDescent="0.3">
      <c r="A1281" t="s">
        <v>1245</v>
      </c>
      <c r="B1281" t="s">
        <v>2513</v>
      </c>
      <c r="C1281" t="s">
        <v>2538</v>
      </c>
      <c r="D1281" t="s">
        <v>2539</v>
      </c>
    </row>
    <row r="1282" spans="1:4" x14ac:dyDescent="0.3">
      <c r="A1282" t="s">
        <v>2540</v>
      </c>
      <c r="B1282" t="s">
        <v>2541</v>
      </c>
      <c r="C1282" t="s">
        <v>2542</v>
      </c>
      <c r="D1282" t="s">
        <v>2543</v>
      </c>
    </row>
    <row r="1283" spans="1:4" x14ac:dyDescent="0.3">
      <c r="A1283" t="s">
        <v>2540</v>
      </c>
      <c r="B1283" t="s">
        <v>2541</v>
      </c>
      <c r="C1283" t="s">
        <v>2544</v>
      </c>
      <c r="D1283" t="s">
        <v>2545</v>
      </c>
    </row>
    <row r="1284" spans="1:4" x14ac:dyDescent="0.3">
      <c r="A1284" t="s">
        <v>2540</v>
      </c>
      <c r="B1284" t="s">
        <v>2541</v>
      </c>
      <c r="C1284" t="s">
        <v>2546</v>
      </c>
      <c r="D1284" t="s">
        <v>322</v>
      </c>
    </row>
    <row r="1285" spans="1:4" x14ac:dyDescent="0.3">
      <c r="A1285" t="s">
        <v>2540</v>
      </c>
      <c r="B1285" t="s">
        <v>2541</v>
      </c>
      <c r="C1285" t="s">
        <v>2547</v>
      </c>
      <c r="D1285" t="s">
        <v>2548</v>
      </c>
    </row>
    <row r="1286" spans="1:4" x14ac:dyDescent="0.3">
      <c r="A1286" t="s">
        <v>2540</v>
      </c>
      <c r="B1286" t="s">
        <v>2541</v>
      </c>
      <c r="C1286" t="s">
        <v>2549</v>
      </c>
      <c r="D1286" t="s">
        <v>332</v>
      </c>
    </row>
    <row r="1287" spans="1:4" x14ac:dyDescent="0.3">
      <c r="A1287" t="s">
        <v>2540</v>
      </c>
      <c r="B1287" t="s">
        <v>2541</v>
      </c>
      <c r="C1287" t="s">
        <v>2550</v>
      </c>
      <c r="D1287" t="s">
        <v>2551</v>
      </c>
    </row>
    <row r="1288" spans="1:4" x14ac:dyDescent="0.3">
      <c r="A1288" t="s">
        <v>2540</v>
      </c>
      <c r="B1288" t="s">
        <v>2541</v>
      </c>
      <c r="C1288" t="s">
        <v>2552</v>
      </c>
      <c r="D1288" t="s">
        <v>2553</v>
      </c>
    </row>
    <row r="1289" spans="1:4" x14ac:dyDescent="0.3">
      <c r="A1289" t="s">
        <v>2540</v>
      </c>
      <c r="B1289" t="s">
        <v>2541</v>
      </c>
      <c r="C1289" t="s">
        <v>2554</v>
      </c>
      <c r="D1289" t="s">
        <v>2555</v>
      </c>
    </row>
    <row r="1290" spans="1:4" x14ac:dyDescent="0.3">
      <c r="A1290" t="s">
        <v>2540</v>
      </c>
      <c r="B1290" t="s">
        <v>2541</v>
      </c>
      <c r="C1290" t="s">
        <v>2556</v>
      </c>
      <c r="D1290" t="s">
        <v>2557</v>
      </c>
    </row>
    <row r="1291" spans="1:4" x14ac:dyDescent="0.3">
      <c r="A1291" t="s">
        <v>2540</v>
      </c>
      <c r="B1291" t="s">
        <v>2541</v>
      </c>
      <c r="C1291" t="s">
        <v>4168</v>
      </c>
      <c r="D1291" t="s">
        <v>4169</v>
      </c>
    </row>
    <row r="1292" spans="1:4" x14ac:dyDescent="0.3">
      <c r="A1292" t="s">
        <v>2558</v>
      </c>
      <c r="B1292" t="s">
        <v>2559</v>
      </c>
      <c r="C1292" t="s">
        <v>2560</v>
      </c>
      <c r="D1292" t="s">
        <v>2561</v>
      </c>
    </row>
    <row r="1293" spans="1:4" x14ac:dyDescent="0.3">
      <c r="A1293" t="s">
        <v>2558</v>
      </c>
      <c r="B1293" t="s">
        <v>2559</v>
      </c>
      <c r="C1293" t="s">
        <v>2562</v>
      </c>
      <c r="D1293" t="s">
        <v>2563</v>
      </c>
    </row>
    <row r="1294" spans="1:4" x14ac:dyDescent="0.3">
      <c r="A1294" t="s">
        <v>2558</v>
      </c>
      <c r="B1294" t="s">
        <v>2559</v>
      </c>
      <c r="C1294" t="s">
        <v>2564</v>
      </c>
      <c r="D1294" t="s">
        <v>2565</v>
      </c>
    </row>
    <row r="1295" spans="1:4" x14ac:dyDescent="0.3">
      <c r="A1295" t="s">
        <v>2558</v>
      </c>
      <c r="B1295" t="s">
        <v>2559</v>
      </c>
      <c r="C1295" t="s">
        <v>2566</v>
      </c>
      <c r="D1295" t="s">
        <v>2567</v>
      </c>
    </row>
    <row r="1296" spans="1:4" x14ac:dyDescent="0.3">
      <c r="A1296" t="s">
        <v>2558</v>
      </c>
      <c r="B1296" t="s">
        <v>2559</v>
      </c>
      <c r="C1296" t="s">
        <v>2568</v>
      </c>
      <c r="D1296" t="s">
        <v>2569</v>
      </c>
    </row>
    <row r="1297" spans="1:4" x14ac:dyDescent="0.3">
      <c r="A1297" t="s">
        <v>2558</v>
      </c>
      <c r="B1297" t="s">
        <v>2559</v>
      </c>
      <c r="C1297" t="s">
        <v>2570</v>
      </c>
      <c r="D1297" t="s">
        <v>2571</v>
      </c>
    </row>
    <row r="1298" spans="1:4" x14ac:dyDescent="0.3">
      <c r="A1298" t="s">
        <v>2558</v>
      </c>
      <c r="B1298" t="s">
        <v>2559</v>
      </c>
      <c r="C1298" t="s">
        <v>2572</v>
      </c>
      <c r="D1298" t="s">
        <v>2573</v>
      </c>
    </row>
    <row r="1299" spans="1:4" x14ac:dyDescent="0.3">
      <c r="A1299" t="s">
        <v>2558</v>
      </c>
      <c r="B1299" t="s">
        <v>2559</v>
      </c>
      <c r="C1299" t="s">
        <v>2574</v>
      </c>
      <c r="D1299" t="s">
        <v>2575</v>
      </c>
    </row>
    <row r="1300" spans="1:4" x14ac:dyDescent="0.3">
      <c r="A1300" t="s">
        <v>2558</v>
      </c>
      <c r="B1300" t="s">
        <v>2559</v>
      </c>
      <c r="C1300" t="s">
        <v>2576</v>
      </c>
      <c r="D1300" t="s">
        <v>2577</v>
      </c>
    </row>
    <row r="1301" spans="1:4" x14ac:dyDescent="0.3">
      <c r="A1301" t="s">
        <v>2558</v>
      </c>
      <c r="B1301" t="s">
        <v>2559</v>
      </c>
      <c r="C1301" t="s">
        <v>4286</v>
      </c>
      <c r="D1301" t="s">
        <v>4287</v>
      </c>
    </row>
    <row r="1302" spans="1:4" x14ac:dyDescent="0.3">
      <c r="A1302" t="s">
        <v>2558</v>
      </c>
      <c r="B1302" t="s">
        <v>2559</v>
      </c>
      <c r="C1302" t="s">
        <v>2578</v>
      </c>
      <c r="D1302" t="s">
        <v>2579</v>
      </c>
    </row>
    <row r="1303" spans="1:4" x14ac:dyDescent="0.3">
      <c r="A1303" t="s">
        <v>2558</v>
      </c>
      <c r="B1303" t="s">
        <v>2559</v>
      </c>
      <c r="C1303" t="s">
        <v>2580</v>
      </c>
      <c r="D1303" t="s">
        <v>2581</v>
      </c>
    </row>
    <row r="1304" spans="1:4" x14ac:dyDescent="0.3">
      <c r="A1304" t="s">
        <v>2558</v>
      </c>
      <c r="B1304" t="s">
        <v>2559</v>
      </c>
      <c r="C1304" t="s">
        <v>2582</v>
      </c>
      <c r="D1304" t="s">
        <v>2583</v>
      </c>
    </row>
    <row r="1305" spans="1:4" x14ac:dyDescent="0.3">
      <c r="A1305" t="s">
        <v>2558</v>
      </c>
      <c r="B1305" t="s">
        <v>2559</v>
      </c>
      <c r="C1305" t="s">
        <v>2584</v>
      </c>
      <c r="D1305" t="s">
        <v>2585</v>
      </c>
    </row>
    <row r="1306" spans="1:4" x14ac:dyDescent="0.3">
      <c r="A1306" t="s">
        <v>2558</v>
      </c>
      <c r="B1306" t="s">
        <v>2559</v>
      </c>
      <c r="C1306" t="s">
        <v>2586</v>
      </c>
      <c r="D1306" t="s">
        <v>2587</v>
      </c>
    </row>
    <row r="1307" spans="1:4" x14ac:dyDescent="0.3">
      <c r="A1307" t="s">
        <v>2558</v>
      </c>
      <c r="B1307" t="s">
        <v>2559</v>
      </c>
      <c r="C1307" t="s">
        <v>2588</v>
      </c>
      <c r="D1307" t="s">
        <v>2589</v>
      </c>
    </row>
    <row r="1308" spans="1:4" x14ac:dyDescent="0.3">
      <c r="A1308" t="s">
        <v>2558</v>
      </c>
      <c r="B1308" t="s">
        <v>2559</v>
      </c>
      <c r="C1308" t="s">
        <v>2590</v>
      </c>
      <c r="D1308" t="s">
        <v>507</v>
      </c>
    </row>
    <row r="1309" spans="1:4" x14ac:dyDescent="0.3">
      <c r="A1309" t="s">
        <v>2558</v>
      </c>
      <c r="B1309" t="s">
        <v>2559</v>
      </c>
      <c r="C1309" t="s">
        <v>2591</v>
      </c>
      <c r="D1309" t="s">
        <v>2592</v>
      </c>
    </row>
    <row r="1310" spans="1:4" x14ac:dyDescent="0.3">
      <c r="A1310" t="s">
        <v>2593</v>
      </c>
      <c r="B1310" t="s">
        <v>2594</v>
      </c>
      <c r="C1310" t="s">
        <v>2595</v>
      </c>
      <c r="D1310" t="s">
        <v>2596</v>
      </c>
    </row>
    <row r="1311" spans="1:4" x14ac:dyDescent="0.3">
      <c r="A1311" t="s">
        <v>2593</v>
      </c>
      <c r="B1311" t="s">
        <v>2594</v>
      </c>
      <c r="C1311" t="s">
        <v>2597</v>
      </c>
      <c r="D1311" t="s">
        <v>2598</v>
      </c>
    </row>
    <row r="1312" spans="1:4" x14ac:dyDescent="0.3">
      <c r="A1312" t="s">
        <v>2593</v>
      </c>
      <c r="B1312" t="s">
        <v>2594</v>
      </c>
      <c r="C1312" t="s">
        <v>2599</v>
      </c>
      <c r="D1312" t="s">
        <v>2600</v>
      </c>
    </row>
    <row r="1313" spans="1:4" x14ac:dyDescent="0.3">
      <c r="A1313" t="s">
        <v>2593</v>
      </c>
      <c r="B1313" t="s">
        <v>2594</v>
      </c>
      <c r="C1313" t="s">
        <v>2601</v>
      </c>
      <c r="D1313" t="s">
        <v>2602</v>
      </c>
    </row>
    <row r="1314" spans="1:4" x14ac:dyDescent="0.3">
      <c r="A1314" t="s">
        <v>2593</v>
      </c>
      <c r="B1314" t="s">
        <v>2594</v>
      </c>
      <c r="C1314" t="s">
        <v>2603</v>
      </c>
      <c r="D1314" t="s">
        <v>2604</v>
      </c>
    </row>
    <row r="1315" spans="1:4" x14ac:dyDescent="0.3">
      <c r="A1315" t="s">
        <v>2593</v>
      </c>
      <c r="B1315" t="s">
        <v>2594</v>
      </c>
      <c r="C1315" t="s">
        <v>2605</v>
      </c>
      <c r="D1315" t="s">
        <v>2606</v>
      </c>
    </row>
    <row r="1316" spans="1:4" x14ac:dyDescent="0.3">
      <c r="A1316" t="s">
        <v>2593</v>
      </c>
      <c r="B1316" t="s">
        <v>2594</v>
      </c>
      <c r="C1316" t="s">
        <v>2607</v>
      </c>
      <c r="D1316" t="s">
        <v>2608</v>
      </c>
    </row>
    <row r="1317" spans="1:4" x14ac:dyDescent="0.3">
      <c r="A1317" t="s">
        <v>2593</v>
      </c>
      <c r="B1317" t="s">
        <v>2594</v>
      </c>
      <c r="C1317" t="s">
        <v>2609</v>
      </c>
      <c r="D1317" t="s">
        <v>2610</v>
      </c>
    </row>
    <row r="1318" spans="1:4" x14ac:dyDescent="0.3">
      <c r="A1318" t="s">
        <v>2593</v>
      </c>
      <c r="B1318" t="s">
        <v>2594</v>
      </c>
      <c r="C1318" t="s">
        <v>2611</v>
      </c>
      <c r="D1318" t="s">
        <v>2612</v>
      </c>
    </row>
    <row r="1319" spans="1:4" x14ac:dyDescent="0.3">
      <c r="A1319" t="s">
        <v>2593</v>
      </c>
      <c r="B1319" t="s">
        <v>2594</v>
      </c>
      <c r="C1319" t="s">
        <v>2613</v>
      </c>
      <c r="D1319" t="s">
        <v>2614</v>
      </c>
    </row>
    <row r="1320" spans="1:4" x14ac:dyDescent="0.3">
      <c r="A1320" t="s">
        <v>2593</v>
      </c>
      <c r="B1320" t="s">
        <v>2594</v>
      </c>
      <c r="C1320" t="s">
        <v>2615</v>
      </c>
      <c r="D1320" t="s">
        <v>2616</v>
      </c>
    </row>
    <row r="1321" spans="1:4" x14ac:dyDescent="0.3">
      <c r="A1321" t="s">
        <v>2593</v>
      </c>
      <c r="B1321" t="s">
        <v>2594</v>
      </c>
      <c r="C1321" t="s">
        <v>2617</v>
      </c>
      <c r="D1321" t="s">
        <v>2618</v>
      </c>
    </row>
    <row r="1322" spans="1:4" x14ac:dyDescent="0.3">
      <c r="A1322" t="s">
        <v>2593</v>
      </c>
      <c r="B1322" t="s">
        <v>2594</v>
      </c>
      <c r="C1322" t="s">
        <v>2619</v>
      </c>
      <c r="D1322" t="s">
        <v>2620</v>
      </c>
    </row>
    <row r="1323" spans="1:4" x14ac:dyDescent="0.3">
      <c r="A1323" t="s">
        <v>2593</v>
      </c>
      <c r="B1323" t="s">
        <v>2594</v>
      </c>
      <c r="C1323" t="s">
        <v>2621</v>
      </c>
      <c r="D1323" t="s">
        <v>2622</v>
      </c>
    </row>
    <row r="1324" spans="1:4" x14ac:dyDescent="0.3">
      <c r="A1324" t="s">
        <v>2593</v>
      </c>
      <c r="B1324" t="s">
        <v>2594</v>
      </c>
      <c r="C1324" t="s">
        <v>2623</v>
      </c>
      <c r="D1324" t="s">
        <v>2624</v>
      </c>
    </row>
    <row r="1325" spans="1:4" x14ac:dyDescent="0.3">
      <c r="A1325" t="s">
        <v>2593</v>
      </c>
      <c r="B1325" t="s">
        <v>2594</v>
      </c>
      <c r="C1325" t="s">
        <v>2625</v>
      </c>
      <c r="D1325" t="s">
        <v>2626</v>
      </c>
    </row>
    <row r="1326" spans="1:4" x14ac:dyDescent="0.3">
      <c r="A1326" t="s">
        <v>2593</v>
      </c>
      <c r="B1326" t="s">
        <v>2594</v>
      </c>
      <c r="C1326" t="s">
        <v>2627</v>
      </c>
      <c r="D1326" t="s">
        <v>2628</v>
      </c>
    </row>
    <row r="1327" spans="1:4" x14ac:dyDescent="0.3">
      <c r="A1327" t="s">
        <v>2593</v>
      </c>
      <c r="B1327" t="s">
        <v>2594</v>
      </c>
      <c r="C1327" t="s">
        <v>2629</v>
      </c>
      <c r="D1327" t="s">
        <v>2630</v>
      </c>
    </row>
    <row r="1328" spans="1:4" x14ac:dyDescent="0.3">
      <c r="A1328" t="s">
        <v>2593</v>
      </c>
      <c r="B1328" t="s">
        <v>2594</v>
      </c>
      <c r="C1328" t="s">
        <v>2631</v>
      </c>
      <c r="D1328" t="s">
        <v>2632</v>
      </c>
    </row>
    <row r="1329" spans="1:4" x14ac:dyDescent="0.3">
      <c r="A1329" t="s">
        <v>2593</v>
      </c>
      <c r="B1329" t="s">
        <v>2594</v>
      </c>
      <c r="C1329" t="s">
        <v>2633</v>
      </c>
      <c r="D1329" t="s">
        <v>2634</v>
      </c>
    </row>
    <row r="1330" spans="1:4" x14ac:dyDescent="0.3">
      <c r="A1330" t="s">
        <v>2593</v>
      </c>
      <c r="B1330" t="s">
        <v>2594</v>
      </c>
      <c r="C1330" t="s">
        <v>2635</v>
      </c>
      <c r="D1330" t="s">
        <v>2636</v>
      </c>
    </row>
    <row r="1331" spans="1:4" x14ac:dyDescent="0.3">
      <c r="A1331" t="s">
        <v>2593</v>
      </c>
      <c r="B1331" t="s">
        <v>2594</v>
      </c>
      <c r="C1331" t="s">
        <v>2637</v>
      </c>
      <c r="D1331" t="s">
        <v>2638</v>
      </c>
    </row>
    <row r="1332" spans="1:4" x14ac:dyDescent="0.3">
      <c r="A1332" t="s">
        <v>2593</v>
      </c>
      <c r="B1332" t="s">
        <v>2594</v>
      </c>
      <c r="C1332" t="s">
        <v>2639</v>
      </c>
      <c r="D1332" t="s">
        <v>2640</v>
      </c>
    </row>
    <row r="1333" spans="1:4" x14ac:dyDescent="0.3">
      <c r="A1333" t="s">
        <v>2593</v>
      </c>
      <c r="B1333" t="s">
        <v>2594</v>
      </c>
      <c r="C1333" t="s">
        <v>2641</v>
      </c>
      <c r="D1333" t="s">
        <v>2642</v>
      </c>
    </row>
    <row r="1334" spans="1:4" x14ac:dyDescent="0.3">
      <c r="A1334" t="s">
        <v>2593</v>
      </c>
      <c r="B1334" t="s">
        <v>2594</v>
      </c>
      <c r="C1334" t="s">
        <v>2643</v>
      </c>
      <c r="D1334" t="s">
        <v>2644</v>
      </c>
    </row>
    <row r="1335" spans="1:4" x14ac:dyDescent="0.3">
      <c r="A1335" t="s">
        <v>2593</v>
      </c>
      <c r="B1335" t="s">
        <v>2594</v>
      </c>
      <c r="C1335" t="s">
        <v>2645</v>
      </c>
      <c r="D1335" t="s">
        <v>4224</v>
      </c>
    </row>
    <row r="1336" spans="1:4" x14ac:dyDescent="0.3">
      <c r="A1336" t="s">
        <v>2593</v>
      </c>
      <c r="B1336" t="s">
        <v>2594</v>
      </c>
      <c r="C1336" t="s">
        <v>2646</v>
      </c>
      <c r="D1336" t="s">
        <v>2647</v>
      </c>
    </row>
    <row r="1337" spans="1:4" x14ac:dyDescent="0.3">
      <c r="A1337" t="s">
        <v>2593</v>
      </c>
      <c r="B1337" t="s">
        <v>2594</v>
      </c>
      <c r="C1337" t="s">
        <v>2648</v>
      </c>
      <c r="D1337" t="s">
        <v>2649</v>
      </c>
    </row>
    <row r="1338" spans="1:4" x14ac:dyDescent="0.3">
      <c r="A1338" t="s">
        <v>2593</v>
      </c>
      <c r="B1338" t="s">
        <v>2594</v>
      </c>
      <c r="C1338" t="s">
        <v>2650</v>
      </c>
      <c r="D1338" t="s">
        <v>2651</v>
      </c>
    </row>
    <row r="1339" spans="1:4" x14ac:dyDescent="0.3">
      <c r="A1339" t="s">
        <v>2593</v>
      </c>
      <c r="B1339" t="s">
        <v>2594</v>
      </c>
      <c r="C1339" t="s">
        <v>2652</v>
      </c>
      <c r="D1339" t="s">
        <v>2653</v>
      </c>
    </row>
    <row r="1340" spans="1:4" x14ac:dyDescent="0.3">
      <c r="A1340" t="s">
        <v>2593</v>
      </c>
      <c r="B1340" t="s">
        <v>2594</v>
      </c>
      <c r="C1340" t="s">
        <v>2654</v>
      </c>
      <c r="D1340" t="s">
        <v>2655</v>
      </c>
    </row>
    <row r="1341" spans="1:4" x14ac:dyDescent="0.3">
      <c r="A1341" t="s">
        <v>2593</v>
      </c>
      <c r="B1341" t="s">
        <v>2594</v>
      </c>
      <c r="C1341" t="s">
        <v>2656</v>
      </c>
      <c r="D1341" t="s">
        <v>2657</v>
      </c>
    </row>
    <row r="1342" spans="1:4" x14ac:dyDescent="0.3">
      <c r="A1342" t="s">
        <v>2593</v>
      </c>
      <c r="B1342" t="s">
        <v>2594</v>
      </c>
      <c r="C1342" t="s">
        <v>2658</v>
      </c>
      <c r="D1342" t="s">
        <v>2659</v>
      </c>
    </row>
    <row r="1343" spans="1:4" x14ac:dyDescent="0.3">
      <c r="A1343" t="s">
        <v>2593</v>
      </c>
      <c r="B1343" t="s">
        <v>2594</v>
      </c>
      <c r="C1343" t="s">
        <v>2660</v>
      </c>
      <c r="D1343" t="s">
        <v>2661</v>
      </c>
    </row>
    <row r="1344" spans="1:4" x14ac:dyDescent="0.3">
      <c r="A1344" t="s">
        <v>2593</v>
      </c>
      <c r="B1344" t="s">
        <v>2594</v>
      </c>
      <c r="C1344" t="s">
        <v>2662</v>
      </c>
      <c r="D1344" t="s">
        <v>2663</v>
      </c>
    </row>
    <row r="1345" spans="1:4" x14ac:dyDescent="0.3">
      <c r="A1345" t="s">
        <v>2593</v>
      </c>
      <c r="B1345" t="s">
        <v>2594</v>
      </c>
      <c r="C1345" t="s">
        <v>2664</v>
      </c>
      <c r="D1345" t="s">
        <v>2665</v>
      </c>
    </row>
    <row r="1346" spans="1:4" x14ac:dyDescent="0.3">
      <c r="A1346" t="s">
        <v>2593</v>
      </c>
      <c r="B1346" t="s">
        <v>2594</v>
      </c>
      <c r="C1346" t="s">
        <v>2666</v>
      </c>
      <c r="D1346" t="s">
        <v>2667</v>
      </c>
    </row>
    <row r="1347" spans="1:4" x14ac:dyDescent="0.3">
      <c r="A1347" t="s">
        <v>2593</v>
      </c>
      <c r="B1347" t="s">
        <v>2594</v>
      </c>
      <c r="C1347" t="s">
        <v>2668</v>
      </c>
      <c r="D1347" t="s">
        <v>2669</v>
      </c>
    </row>
    <row r="1348" spans="1:4" x14ac:dyDescent="0.3">
      <c r="A1348" t="s">
        <v>2670</v>
      </c>
      <c r="B1348" t="s">
        <v>2671</v>
      </c>
      <c r="C1348" t="s">
        <v>2672</v>
      </c>
      <c r="D1348" t="s">
        <v>2673</v>
      </c>
    </row>
    <row r="1349" spans="1:4" x14ac:dyDescent="0.3">
      <c r="A1349" t="s">
        <v>2670</v>
      </c>
      <c r="B1349" t="s">
        <v>2671</v>
      </c>
      <c r="C1349" t="s">
        <v>2674</v>
      </c>
      <c r="D1349" t="s">
        <v>2675</v>
      </c>
    </row>
    <row r="1350" spans="1:4" x14ac:dyDescent="0.3">
      <c r="A1350" t="s">
        <v>2670</v>
      </c>
      <c r="B1350" t="s">
        <v>2671</v>
      </c>
      <c r="C1350" t="s">
        <v>2676</v>
      </c>
      <c r="D1350" t="s">
        <v>2677</v>
      </c>
    </row>
    <row r="1351" spans="1:4" x14ac:dyDescent="0.3">
      <c r="A1351" t="s">
        <v>2670</v>
      </c>
      <c r="B1351" t="s">
        <v>2671</v>
      </c>
      <c r="C1351" t="s">
        <v>2678</v>
      </c>
      <c r="D1351" t="s">
        <v>2679</v>
      </c>
    </row>
    <row r="1352" spans="1:4" x14ac:dyDescent="0.3">
      <c r="A1352" t="s">
        <v>2670</v>
      </c>
      <c r="B1352" t="s">
        <v>2671</v>
      </c>
      <c r="C1352" t="s">
        <v>2680</v>
      </c>
      <c r="D1352" t="s">
        <v>2492</v>
      </c>
    </row>
    <row r="1353" spans="1:4" x14ac:dyDescent="0.3">
      <c r="A1353" t="s">
        <v>2670</v>
      </c>
      <c r="B1353" t="s">
        <v>2671</v>
      </c>
      <c r="C1353" t="s">
        <v>2681</v>
      </c>
      <c r="D1353" t="s">
        <v>342</v>
      </c>
    </row>
    <row r="1354" spans="1:4" x14ac:dyDescent="0.3">
      <c r="A1354" t="s">
        <v>2670</v>
      </c>
      <c r="B1354" t="s">
        <v>2671</v>
      </c>
      <c r="C1354" t="s">
        <v>2682</v>
      </c>
      <c r="D1354" t="s">
        <v>2502</v>
      </c>
    </row>
    <row r="1355" spans="1:4" x14ac:dyDescent="0.3">
      <c r="A1355" t="s">
        <v>2670</v>
      </c>
      <c r="B1355" t="s">
        <v>2671</v>
      </c>
      <c r="C1355" t="s">
        <v>2683</v>
      </c>
      <c r="D1355" t="s">
        <v>423</v>
      </c>
    </row>
    <row r="1356" spans="1:4" x14ac:dyDescent="0.3">
      <c r="A1356" t="s">
        <v>2684</v>
      </c>
      <c r="B1356" t="s">
        <v>2685</v>
      </c>
      <c r="C1356" t="s">
        <v>2686</v>
      </c>
      <c r="D1356" t="s">
        <v>2687</v>
      </c>
    </row>
    <row r="1357" spans="1:4" x14ac:dyDescent="0.3">
      <c r="A1357" t="s">
        <v>2684</v>
      </c>
      <c r="B1357" t="s">
        <v>2685</v>
      </c>
      <c r="C1357" t="s">
        <v>2688</v>
      </c>
      <c r="D1357" t="s">
        <v>2689</v>
      </c>
    </row>
    <row r="1358" spans="1:4" x14ac:dyDescent="0.3">
      <c r="A1358" t="s">
        <v>2684</v>
      </c>
      <c r="B1358" t="s">
        <v>2685</v>
      </c>
      <c r="C1358" t="s">
        <v>2690</v>
      </c>
      <c r="D1358" t="s">
        <v>2691</v>
      </c>
    </row>
    <row r="1359" spans="1:4" x14ac:dyDescent="0.3">
      <c r="A1359" t="s">
        <v>2684</v>
      </c>
      <c r="B1359" t="s">
        <v>2685</v>
      </c>
      <c r="C1359" t="s">
        <v>2692</v>
      </c>
      <c r="D1359" t="s">
        <v>2693</v>
      </c>
    </row>
    <row r="1360" spans="1:4" x14ac:dyDescent="0.3">
      <c r="A1360" t="s">
        <v>2684</v>
      </c>
      <c r="B1360" t="s">
        <v>2685</v>
      </c>
      <c r="C1360" t="s">
        <v>2694</v>
      </c>
      <c r="D1360" t="s">
        <v>2695</v>
      </c>
    </row>
    <row r="1361" spans="1:4" x14ac:dyDescent="0.3">
      <c r="A1361" t="s">
        <v>2684</v>
      </c>
      <c r="B1361" t="s">
        <v>2685</v>
      </c>
      <c r="C1361" t="s">
        <v>2696</v>
      </c>
      <c r="D1361" t="s">
        <v>2697</v>
      </c>
    </row>
    <row r="1362" spans="1:4" x14ac:dyDescent="0.3">
      <c r="A1362" t="s">
        <v>2684</v>
      </c>
      <c r="B1362" t="s">
        <v>2685</v>
      </c>
      <c r="C1362" t="s">
        <v>2698</v>
      </c>
      <c r="D1362" t="s">
        <v>2699</v>
      </c>
    </row>
    <row r="1363" spans="1:4" x14ac:dyDescent="0.3">
      <c r="A1363" t="s">
        <v>2684</v>
      </c>
      <c r="B1363" t="s">
        <v>2685</v>
      </c>
      <c r="C1363" t="s">
        <v>2700</v>
      </c>
      <c r="D1363" t="s">
        <v>2701</v>
      </c>
    </row>
    <row r="1364" spans="1:4" x14ac:dyDescent="0.3">
      <c r="A1364" t="s">
        <v>2684</v>
      </c>
      <c r="B1364" t="s">
        <v>2685</v>
      </c>
      <c r="C1364" t="s">
        <v>2702</v>
      </c>
      <c r="D1364" t="s">
        <v>2703</v>
      </c>
    </row>
    <row r="1365" spans="1:4" x14ac:dyDescent="0.3">
      <c r="A1365" t="s">
        <v>2684</v>
      </c>
      <c r="B1365" t="s">
        <v>2685</v>
      </c>
      <c r="C1365" t="s">
        <v>2704</v>
      </c>
      <c r="D1365" t="s">
        <v>2705</v>
      </c>
    </row>
    <row r="1366" spans="1:4" x14ac:dyDescent="0.3">
      <c r="A1366" t="s">
        <v>2684</v>
      </c>
      <c r="B1366" t="s">
        <v>2685</v>
      </c>
      <c r="C1366" t="s">
        <v>2706</v>
      </c>
      <c r="D1366" t="s">
        <v>2707</v>
      </c>
    </row>
    <row r="1367" spans="1:4" x14ac:dyDescent="0.3">
      <c r="A1367" t="s">
        <v>2684</v>
      </c>
      <c r="B1367" t="s">
        <v>2685</v>
      </c>
      <c r="C1367" t="s">
        <v>2708</v>
      </c>
      <c r="D1367" t="s">
        <v>2709</v>
      </c>
    </row>
    <row r="1368" spans="1:4" x14ac:dyDescent="0.3">
      <c r="A1368" t="s">
        <v>2684</v>
      </c>
      <c r="B1368" t="s">
        <v>2685</v>
      </c>
      <c r="C1368" t="s">
        <v>2710</v>
      </c>
      <c r="D1368" t="s">
        <v>2711</v>
      </c>
    </row>
    <row r="1369" spans="1:4" x14ac:dyDescent="0.3">
      <c r="A1369" t="s">
        <v>2684</v>
      </c>
      <c r="B1369" t="s">
        <v>2685</v>
      </c>
      <c r="C1369" t="s">
        <v>2712</v>
      </c>
      <c r="D1369" t="s">
        <v>2713</v>
      </c>
    </row>
    <row r="1370" spans="1:4" x14ac:dyDescent="0.3">
      <c r="A1370" t="s">
        <v>2684</v>
      </c>
      <c r="B1370" t="s">
        <v>2685</v>
      </c>
      <c r="C1370" t="s">
        <v>2714</v>
      </c>
      <c r="D1370" t="s">
        <v>2715</v>
      </c>
    </row>
    <row r="1371" spans="1:4" x14ac:dyDescent="0.3">
      <c r="A1371" t="s">
        <v>2684</v>
      </c>
      <c r="B1371" t="s">
        <v>2685</v>
      </c>
      <c r="C1371" t="s">
        <v>2716</v>
      </c>
      <c r="D1371" t="s">
        <v>2717</v>
      </c>
    </row>
    <row r="1372" spans="1:4" x14ac:dyDescent="0.3">
      <c r="A1372" t="s">
        <v>2684</v>
      </c>
      <c r="B1372" t="s">
        <v>2685</v>
      </c>
      <c r="C1372" t="s">
        <v>2718</v>
      </c>
      <c r="D1372" t="s">
        <v>2719</v>
      </c>
    </row>
    <row r="1373" spans="1:4" x14ac:dyDescent="0.3">
      <c r="A1373" t="s">
        <v>2684</v>
      </c>
      <c r="B1373" t="s">
        <v>2685</v>
      </c>
      <c r="C1373" t="s">
        <v>2720</v>
      </c>
      <c r="D1373" t="s">
        <v>2721</v>
      </c>
    </row>
    <row r="1374" spans="1:4" x14ac:dyDescent="0.3">
      <c r="A1374" t="s">
        <v>2684</v>
      </c>
      <c r="B1374" t="s">
        <v>2685</v>
      </c>
      <c r="C1374" t="s">
        <v>2722</v>
      </c>
      <c r="D1374" t="s">
        <v>2723</v>
      </c>
    </row>
    <row r="1375" spans="1:4" x14ac:dyDescent="0.3">
      <c r="A1375" t="s">
        <v>2684</v>
      </c>
      <c r="B1375" t="s">
        <v>2685</v>
      </c>
      <c r="C1375" t="s">
        <v>2724</v>
      </c>
      <c r="D1375" t="s">
        <v>2725</v>
      </c>
    </row>
    <row r="1376" spans="1:4" x14ac:dyDescent="0.3">
      <c r="A1376" t="s">
        <v>2684</v>
      </c>
      <c r="B1376" t="s">
        <v>2685</v>
      </c>
      <c r="C1376" t="s">
        <v>2726</v>
      </c>
      <c r="D1376" t="s">
        <v>2727</v>
      </c>
    </row>
    <row r="1377" spans="1:4" x14ac:dyDescent="0.3">
      <c r="A1377" t="s">
        <v>2684</v>
      </c>
      <c r="B1377" t="s">
        <v>2685</v>
      </c>
      <c r="C1377" t="s">
        <v>2728</v>
      </c>
      <c r="D1377" t="s">
        <v>2729</v>
      </c>
    </row>
    <row r="1378" spans="1:4" x14ac:dyDescent="0.3">
      <c r="A1378" t="s">
        <v>2684</v>
      </c>
      <c r="B1378" t="s">
        <v>2685</v>
      </c>
      <c r="C1378" t="s">
        <v>2730</v>
      </c>
      <c r="D1378" t="s">
        <v>2731</v>
      </c>
    </row>
    <row r="1379" spans="1:4" x14ac:dyDescent="0.3">
      <c r="A1379" t="s">
        <v>2684</v>
      </c>
      <c r="B1379" t="s">
        <v>2685</v>
      </c>
      <c r="C1379" t="s">
        <v>2732</v>
      </c>
      <c r="D1379" t="s">
        <v>2733</v>
      </c>
    </row>
    <row r="1380" spans="1:4" x14ac:dyDescent="0.3">
      <c r="A1380" t="s">
        <v>2684</v>
      </c>
      <c r="B1380" t="s">
        <v>2685</v>
      </c>
      <c r="C1380" t="s">
        <v>4170</v>
      </c>
      <c r="D1380" t="s">
        <v>4171</v>
      </c>
    </row>
    <row r="1381" spans="1:4" x14ac:dyDescent="0.3">
      <c r="A1381" t="s">
        <v>2684</v>
      </c>
      <c r="B1381" t="s">
        <v>2685</v>
      </c>
      <c r="C1381" t="s">
        <v>2734</v>
      </c>
      <c r="D1381" t="s">
        <v>1895</v>
      </c>
    </row>
    <row r="1382" spans="1:4" x14ac:dyDescent="0.3">
      <c r="A1382" t="s">
        <v>2684</v>
      </c>
      <c r="B1382" t="s">
        <v>2685</v>
      </c>
      <c r="C1382" t="s">
        <v>2735</v>
      </c>
      <c r="D1382" t="s">
        <v>2736</v>
      </c>
    </row>
    <row r="1383" spans="1:4" x14ac:dyDescent="0.3">
      <c r="A1383" t="s">
        <v>2684</v>
      </c>
      <c r="B1383" t="s">
        <v>2685</v>
      </c>
      <c r="C1383" t="s">
        <v>2737</v>
      </c>
      <c r="D1383" t="s">
        <v>2738</v>
      </c>
    </row>
    <row r="1384" spans="1:4" x14ac:dyDescent="0.3">
      <c r="A1384" t="s">
        <v>2739</v>
      </c>
      <c r="B1384" t="s">
        <v>2740</v>
      </c>
      <c r="C1384" t="s">
        <v>2741</v>
      </c>
      <c r="D1384" t="s">
        <v>2742</v>
      </c>
    </row>
    <row r="1385" spans="1:4" x14ac:dyDescent="0.3">
      <c r="A1385" t="s">
        <v>2739</v>
      </c>
      <c r="B1385" t="s">
        <v>2740</v>
      </c>
      <c r="C1385" t="s">
        <v>4172</v>
      </c>
      <c r="D1385" t="s">
        <v>4173</v>
      </c>
    </row>
    <row r="1386" spans="1:4" x14ac:dyDescent="0.3">
      <c r="A1386" t="s">
        <v>2739</v>
      </c>
      <c r="B1386" t="s">
        <v>2740</v>
      </c>
      <c r="C1386" t="s">
        <v>2743</v>
      </c>
      <c r="D1386" t="s">
        <v>2744</v>
      </c>
    </row>
    <row r="1387" spans="1:4" x14ac:dyDescent="0.3">
      <c r="A1387" t="s">
        <v>2739</v>
      </c>
      <c r="B1387" t="s">
        <v>2740</v>
      </c>
      <c r="C1387" t="s">
        <v>2745</v>
      </c>
      <c r="D1387" t="s">
        <v>2746</v>
      </c>
    </row>
    <row r="1388" spans="1:4" x14ac:dyDescent="0.3">
      <c r="A1388" t="s">
        <v>2739</v>
      </c>
      <c r="B1388" t="s">
        <v>2740</v>
      </c>
      <c r="C1388" t="s">
        <v>2747</v>
      </c>
      <c r="D1388" t="s">
        <v>2748</v>
      </c>
    </row>
    <row r="1389" spans="1:4" x14ac:dyDescent="0.3">
      <c r="A1389" t="s">
        <v>2739</v>
      </c>
      <c r="B1389" t="s">
        <v>2740</v>
      </c>
      <c r="C1389" t="s">
        <v>2749</v>
      </c>
      <c r="D1389" t="s">
        <v>2750</v>
      </c>
    </row>
    <row r="1390" spans="1:4" x14ac:dyDescent="0.3">
      <c r="A1390" t="s">
        <v>2739</v>
      </c>
      <c r="B1390" t="s">
        <v>2740</v>
      </c>
      <c r="C1390" t="s">
        <v>2751</v>
      </c>
      <c r="D1390" t="s">
        <v>2752</v>
      </c>
    </row>
    <row r="1391" spans="1:4" x14ac:dyDescent="0.3">
      <c r="A1391" t="s">
        <v>2739</v>
      </c>
      <c r="B1391" t="s">
        <v>2740</v>
      </c>
      <c r="C1391" t="s">
        <v>2753</v>
      </c>
      <c r="D1391" t="s">
        <v>2754</v>
      </c>
    </row>
    <row r="1392" spans="1:4" x14ac:dyDescent="0.3">
      <c r="A1392" t="s">
        <v>2755</v>
      </c>
      <c r="B1392" t="s">
        <v>2756</v>
      </c>
      <c r="C1392" t="s">
        <v>2757</v>
      </c>
      <c r="D1392" t="s">
        <v>2758</v>
      </c>
    </row>
    <row r="1393" spans="1:4" x14ac:dyDescent="0.3">
      <c r="A1393" t="s">
        <v>2755</v>
      </c>
      <c r="B1393" t="s">
        <v>2756</v>
      </c>
      <c r="C1393" t="s">
        <v>2759</v>
      </c>
      <c r="D1393" t="s">
        <v>2760</v>
      </c>
    </row>
    <row r="1394" spans="1:4" x14ac:dyDescent="0.3">
      <c r="A1394" t="s">
        <v>2755</v>
      </c>
      <c r="B1394" t="s">
        <v>2756</v>
      </c>
      <c r="C1394" t="s">
        <v>2761</v>
      </c>
      <c r="D1394" t="s">
        <v>2762</v>
      </c>
    </row>
    <row r="1395" spans="1:4" x14ac:dyDescent="0.3">
      <c r="A1395" t="s">
        <v>2755</v>
      </c>
      <c r="B1395" t="s">
        <v>2756</v>
      </c>
      <c r="C1395" t="s">
        <v>2763</v>
      </c>
      <c r="D1395" t="s">
        <v>2764</v>
      </c>
    </row>
    <row r="1396" spans="1:4" x14ac:dyDescent="0.3">
      <c r="A1396" t="s">
        <v>2755</v>
      </c>
      <c r="B1396" t="s">
        <v>2756</v>
      </c>
      <c r="C1396" t="s">
        <v>2765</v>
      </c>
      <c r="D1396" t="s">
        <v>2766</v>
      </c>
    </row>
    <row r="1397" spans="1:4" x14ac:dyDescent="0.3">
      <c r="A1397" t="s">
        <v>2755</v>
      </c>
      <c r="B1397" t="s">
        <v>2756</v>
      </c>
      <c r="C1397" t="s">
        <v>2767</v>
      </c>
      <c r="D1397" t="s">
        <v>2768</v>
      </c>
    </row>
    <row r="1398" spans="1:4" x14ac:dyDescent="0.3">
      <c r="A1398" t="s">
        <v>2755</v>
      </c>
      <c r="B1398" t="s">
        <v>2756</v>
      </c>
      <c r="C1398" t="s">
        <v>2769</v>
      </c>
      <c r="D1398" t="s">
        <v>2770</v>
      </c>
    </row>
    <row r="1399" spans="1:4" x14ac:dyDescent="0.3">
      <c r="A1399" t="s">
        <v>2755</v>
      </c>
      <c r="B1399" t="s">
        <v>2756</v>
      </c>
      <c r="C1399" t="s">
        <v>2771</v>
      </c>
      <c r="D1399" t="s">
        <v>2772</v>
      </c>
    </row>
    <row r="1400" spans="1:4" x14ac:dyDescent="0.3">
      <c r="A1400" t="s">
        <v>2755</v>
      </c>
      <c r="B1400" t="s">
        <v>2756</v>
      </c>
      <c r="C1400" t="s">
        <v>2773</v>
      </c>
      <c r="D1400" t="s">
        <v>2774</v>
      </c>
    </row>
    <row r="1401" spans="1:4" x14ac:dyDescent="0.3">
      <c r="A1401" t="s">
        <v>2755</v>
      </c>
      <c r="B1401" t="s">
        <v>2756</v>
      </c>
      <c r="C1401" t="s">
        <v>2775</v>
      </c>
      <c r="D1401" t="s">
        <v>2776</v>
      </c>
    </row>
    <row r="1402" spans="1:4" x14ac:dyDescent="0.3">
      <c r="A1402" t="s">
        <v>2755</v>
      </c>
      <c r="B1402" t="s">
        <v>2756</v>
      </c>
      <c r="C1402" t="s">
        <v>2777</v>
      </c>
      <c r="D1402" t="s">
        <v>2778</v>
      </c>
    </row>
    <row r="1403" spans="1:4" x14ac:dyDescent="0.3">
      <c r="A1403" t="s">
        <v>2755</v>
      </c>
      <c r="B1403" t="s">
        <v>2756</v>
      </c>
      <c r="C1403" t="s">
        <v>2779</v>
      </c>
      <c r="D1403" t="s">
        <v>2780</v>
      </c>
    </row>
    <row r="1404" spans="1:4" x14ac:dyDescent="0.3">
      <c r="A1404" t="s">
        <v>2755</v>
      </c>
      <c r="B1404" t="s">
        <v>2756</v>
      </c>
      <c r="C1404" t="s">
        <v>2781</v>
      </c>
      <c r="D1404" t="s">
        <v>2782</v>
      </c>
    </row>
    <row r="1405" spans="1:4" x14ac:dyDescent="0.3">
      <c r="A1405" t="s">
        <v>2755</v>
      </c>
      <c r="B1405" t="s">
        <v>2756</v>
      </c>
      <c r="C1405" t="s">
        <v>2783</v>
      </c>
      <c r="D1405" t="s">
        <v>2784</v>
      </c>
    </row>
    <row r="1406" spans="1:4" x14ac:dyDescent="0.3">
      <c r="A1406" t="s">
        <v>2755</v>
      </c>
      <c r="B1406" t="s">
        <v>2756</v>
      </c>
      <c r="C1406" t="s">
        <v>2785</v>
      </c>
      <c r="D1406" t="s">
        <v>2786</v>
      </c>
    </row>
    <row r="1407" spans="1:4" x14ac:dyDescent="0.3">
      <c r="A1407" t="s">
        <v>2755</v>
      </c>
      <c r="B1407" t="s">
        <v>2756</v>
      </c>
      <c r="C1407" t="s">
        <v>2787</v>
      </c>
      <c r="D1407" t="s">
        <v>2788</v>
      </c>
    </row>
    <row r="1408" spans="1:4" x14ac:dyDescent="0.3">
      <c r="A1408" t="s">
        <v>2755</v>
      </c>
      <c r="B1408" t="s">
        <v>2756</v>
      </c>
      <c r="C1408" t="s">
        <v>2789</v>
      </c>
      <c r="D1408" t="s">
        <v>2790</v>
      </c>
    </row>
    <row r="1409" spans="1:4" x14ac:dyDescent="0.3">
      <c r="A1409" t="s">
        <v>2755</v>
      </c>
      <c r="B1409" t="s">
        <v>2756</v>
      </c>
      <c r="C1409" t="s">
        <v>2791</v>
      </c>
      <c r="D1409" t="s">
        <v>2792</v>
      </c>
    </row>
    <row r="1410" spans="1:4" x14ac:dyDescent="0.3">
      <c r="A1410" t="s">
        <v>2755</v>
      </c>
      <c r="B1410" t="s">
        <v>2756</v>
      </c>
      <c r="C1410" t="s">
        <v>2793</v>
      </c>
      <c r="D1410" t="s">
        <v>2794</v>
      </c>
    </row>
    <row r="1411" spans="1:4" x14ac:dyDescent="0.3">
      <c r="A1411" t="s">
        <v>2755</v>
      </c>
      <c r="B1411" t="s">
        <v>2756</v>
      </c>
      <c r="C1411" t="s">
        <v>2795</v>
      </c>
      <c r="D1411" t="s">
        <v>2796</v>
      </c>
    </row>
    <row r="1412" spans="1:4" x14ac:dyDescent="0.3">
      <c r="A1412" t="s">
        <v>2755</v>
      </c>
      <c r="B1412" t="s">
        <v>2756</v>
      </c>
      <c r="C1412" t="s">
        <v>2797</v>
      </c>
      <c r="D1412" t="s">
        <v>2798</v>
      </c>
    </row>
    <row r="1413" spans="1:4" x14ac:dyDescent="0.3">
      <c r="A1413" t="s">
        <v>2755</v>
      </c>
      <c r="B1413" t="s">
        <v>2756</v>
      </c>
      <c r="C1413" t="s">
        <v>2799</v>
      </c>
      <c r="D1413" t="s">
        <v>2800</v>
      </c>
    </row>
    <row r="1414" spans="1:4" x14ac:dyDescent="0.3">
      <c r="A1414" t="s">
        <v>2755</v>
      </c>
      <c r="B1414" t="s">
        <v>2756</v>
      </c>
      <c r="C1414" t="s">
        <v>2801</v>
      </c>
      <c r="D1414" t="s">
        <v>2802</v>
      </c>
    </row>
    <row r="1415" spans="1:4" x14ac:dyDescent="0.3">
      <c r="A1415" t="s">
        <v>2755</v>
      </c>
      <c r="B1415" t="s">
        <v>2756</v>
      </c>
      <c r="C1415" t="s">
        <v>4288</v>
      </c>
      <c r="D1415" t="s">
        <v>4289</v>
      </c>
    </row>
    <row r="1416" spans="1:4" x14ac:dyDescent="0.3">
      <c r="A1416" t="s">
        <v>2755</v>
      </c>
      <c r="B1416" t="s">
        <v>2756</v>
      </c>
      <c r="C1416" t="s">
        <v>2803</v>
      </c>
      <c r="D1416" t="s">
        <v>2804</v>
      </c>
    </row>
    <row r="1417" spans="1:4" x14ac:dyDescent="0.3">
      <c r="A1417" t="s">
        <v>2755</v>
      </c>
      <c r="B1417" t="s">
        <v>2756</v>
      </c>
      <c r="C1417" t="s">
        <v>2805</v>
      </c>
      <c r="D1417" t="s">
        <v>2806</v>
      </c>
    </row>
    <row r="1418" spans="1:4" x14ac:dyDescent="0.3">
      <c r="A1418" t="s">
        <v>2755</v>
      </c>
      <c r="B1418" t="s">
        <v>2756</v>
      </c>
      <c r="C1418" t="s">
        <v>2807</v>
      </c>
      <c r="D1418" t="s">
        <v>2808</v>
      </c>
    </row>
    <row r="1419" spans="1:4" x14ac:dyDescent="0.3">
      <c r="A1419" t="s">
        <v>2755</v>
      </c>
      <c r="B1419" t="s">
        <v>2756</v>
      </c>
      <c r="C1419" t="s">
        <v>2809</v>
      </c>
      <c r="D1419" t="s">
        <v>2810</v>
      </c>
    </row>
    <row r="1420" spans="1:4" x14ac:dyDescent="0.3">
      <c r="A1420" t="s">
        <v>2755</v>
      </c>
      <c r="B1420" t="s">
        <v>2756</v>
      </c>
      <c r="C1420" t="s">
        <v>2811</v>
      </c>
      <c r="D1420" t="s">
        <v>2812</v>
      </c>
    </row>
    <row r="1421" spans="1:4" x14ac:dyDescent="0.3">
      <c r="A1421" t="s">
        <v>2755</v>
      </c>
      <c r="B1421" t="s">
        <v>2756</v>
      </c>
      <c r="C1421" t="s">
        <v>2813</v>
      </c>
      <c r="D1421" t="s">
        <v>2814</v>
      </c>
    </row>
    <row r="1422" spans="1:4" x14ac:dyDescent="0.3">
      <c r="A1422" t="s">
        <v>2755</v>
      </c>
      <c r="B1422" t="s">
        <v>2756</v>
      </c>
      <c r="C1422" t="s">
        <v>2815</v>
      </c>
      <c r="D1422" t="s">
        <v>2816</v>
      </c>
    </row>
    <row r="1423" spans="1:4" x14ac:dyDescent="0.3">
      <c r="A1423" t="s">
        <v>2755</v>
      </c>
      <c r="B1423" t="s">
        <v>2756</v>
      </c>
      <c r="C1423" t="s">
        <v>2817</v>
      </c>
      <c r="D1423" t="s">
        <v>2818</v>
      </c>
    </row>
    <row r="1424" spans="1:4" x14ac:dyDescent="0.3">
      <c r="A1424" t="s">
        <v>2755</v>
      </c>
      <c r="B1424" t="s">
        <v>2756</v>
      </c>
      <c r="C1424" t="s">
        <v>2819</v>
      </c>
      <c r="D1424" t="s">
        <v>2820</v>
      </c>
    </row>
    <row r="1425" spans="1:4" x14ac:dyDescent="0.3">
      <c r="A1425" t="s">
        <v>2755</v>
      </c>
      <c r="B1425" t="s">
        <v>2756</v>
      </c>
      <c r="C1425" t="s">
        <v>2821</v>
      </c>
      <c r="D1425" t="s">
        <v>2822</v>
      </c>
    </row>
    <row r="1426" spans="1:4" x14ac:dyDescent="0.3">
      <c r="A1426" t="s">
        <v>2823</v>
      </c>
      <c r="B1426" t="s">
        <v>2824</v>
      </c>
      <c r="C1426" t="s">
        <v>2825</v>
      </c>
      <c r="D1426" t="s">
        <v>2826</v>
      </c>
    </row>
    <row r="1427" spans="1:4" x14ac:dyDescent="0.3">
      <c r="A1427" t="s">
        <v>2823</v>
      </c>
      <c r="B1427" t="s">
        <v>2824</v>
      </c>
      <c r="C1427" t="s">
        <v>2827</v>
      </c>
      <c r="D1427" t="s">
        <v>2828</v>
      </c>
    </row>
    <row r="1428" spans="1:4" x14ac:dyDescent="0.3">
      <c r="A1428" t="s">
        <v>2823</v>
      </c>
      <c r="B1428" t="s">
        <v>2824</v>
      </c>
      <c r="C1428" t="s">
        <v>2829</v>
      </c>
      <c r="D1428" t="s">
        <v>2301</v>
      </c>
    </row>
    <row r="1429" spans="1:4" x14ac:dyDescent="0.3">
      <c r="A1429" t="s">
        <v>2823</v>
      </c>
      <c r="B1429" t="s">
        <v>2824</v>
      </c>
      <c r="C1429" t="s">
        <v>2830</v>
      </c>
      <c r="D1429" t="s">
        <v>2831</v>
      </c>
    </row>
    <row r="1430" spans="1:4" x14ac:dyDescent="0.3">
      <c r="A1430" t="s">
        <v>2823</v>
      </c>
      <c r="B1430" t="s">
        <v>2824</v>
      </c>
      <c r="C1430" t="s">
        <v>2832</v>
      </c>
      <c r="D1430" t="s">
        <v>2833</v>
      </c>
    </row>
    <row r="1431" spans="1:4" x14ac:dyDescent="0.3">
      <c r="A1431" t="s">
        <v>2823</v>
      </c>
      <c r="B1431" t="s">
        <v>2824</v>
      </c>
      <c r="C1431" t="s">
        <v>2834</v>
      </c>
      <c r="D1431" t="s">
        <v>2835</v>
      </c>
    </row>
    <row r="1432" spans="1:4" x14ac:dyDescent="0.3">
      <c r="A1432" t="s">
        <v>2823</v>
      </c>
      <c r="B1432" t="s">
        <v>2824</v>
      </c>
      <c r="C1432" t="s">
        <v>2836</v>
      </c>
      <c r="D1432" t="s">
        <v>2837</v>
      </c>
    </row>
    <row r="1433" spans="1:4" x14ac:dyDescent="0.3">
      <c r="A1433" t="s">
        <v>2823</v>
      </c>
      <c r="B1433" t="s">
        <v>2824</v>
      </c>
      <c r="C1433" t="s">
        <v>2838</v>
      </c>
      <c r="D1433" t="s">
        <v>1182</v>
      </c>
    </row>
    <row r="1434" spans="1:4" x14ac:dyDescent="0.3">
      <c r="A1434" t="s">
        <v>2823</v>
      </c>
      <c r="B1434" t="s">
        <v>2824</v>
      </c>
      <c r="C1434" t="s">
        <v>2839</v>
      </c>
      <c r="D1434" t="s">
        <v>2583</v>
      </c>
    </row>
    <row r="1435" spans="1:4" x14ac:dyDescent="0.3">
      <c r="A1435" t="s">
        <v>2823</v>
      </c>
      <c r="B1435" t="s">
        <v>2824</v>
      </c>
      <c r="C1435" t="s">
        <v>4174</v>
      </c>
      <c r="D1435" t="s">
        <v>4175</v>
      </c>
    </row>
    <row r="1436" spans="1:4" x14ac:dyDescent="0.3">
      <c r="A1436" t="s">
        <v>2823</v>
      </c>
      <c r="B1436" t="s">
        <v>2824</v>
      </c>
      <c r="C1436" t="s">
        <v>2840</v>
      </c>
      <c r="D1436" t="s">
        <v>2841</v>
      </c>
    </row>
    <row r="1437" spans="1:4" x14ac:dyDescent="0.3">
      <c r="A1437" t="s">
        <v>2842</v>
      </c>
      <c r="B1437" t="s">
        <v>2843</v>
      </c>
      <c r="C1437" t="s">
        <v>2844</v>
      </c>
      <c r="D1437" t="s">
        <v>2845</v>
      </c>
    </row>
    <row r="1438" spans="1:4" x14ac:dyDescent="0.3">
      <c r="A1438" t="s">
        <v>2842</v>
      </c>
      <c r="B1438" t="s">
        <v>2843</v>
      </c>
      <c r="C1438" t="s">
        <v>2846</v>
      </c>
      <c r="D1438" t="s">
        <v>2847</v>
      </c>
    </row>
    <row r="1439" spans="1:4" x14ac:dyDescent="0.3">
      <c r="A1439" t="s">
        <v>2842</v>
      </c>
      <c r="B1439" t="s">
        <v>2843</v>
      </c>
      <c r="C1439" t="s">
        <v>2848</v>
      </c>
      <c r="D1439" t="s">
        <v>2849</v>
      </c>
    </row>
    <row r="1440" spans="1:4" x14ac:dyDescent="0.3">
      <c r="A1440" t="s">
        <v>2842</v>
      </c>
      <c r="B1440" t="s">
        <v>2843</v>
      </c>
      <c r="C1440" t="s">
        <v>2850</v>
      </c>
      <c r="D1440" t="s">
        <v>656</v>
      </c>
    </row>
    <row r="1441" spans="1:4" x14ac:dyDescent="0.3">
      <c r="A1441" t="s">
        <v>2842</v>
      </c>
      <c r="B1441" t="s">
        <v>2843</v>
      </c>
      <c r="C1441" t="s">
        <v>2851</v>
      </c>
      <c r="D1441" t="s">
        <v>664</v>
      </c>
    </row>
    <row r="1442" spans="1:4" x14ac:dyDescent="0.3">
      <c r="A1442" t="s">
        <v>2842</v>
      </c>
      <c r="B1442" t="s">
        <v>2843</v>
      </c>
      <c r="C1442" t="s">
        <v>2852</v>
      </c>
      <c r="D1442" t="s">
        <v>1540</v>
      </c>
    </row>
    <row r="1443" spans="1:4" x14ac:dyDescent="0.3">
      <c r="A1443" t="s">
        <v>2842</v>
      </c>
      <c r="B1443" t="s">
        <v>2843</v>
      </c>
      <c r="C1443" t="s">
        <v>2853</v>
      </c>
      <c r="D1443" t="s">
        <v>2854</v>
      </c>
    </row>
    <row r="1444" spans="1:4" x14ac:dyDescent="0.3">
      <c r="A1444" t="s">
        <v>2842</v>
      </c>
      <c r="B1444" t="s">
        <v>2843</v>
      </c>
      <c r="C1444" t="s">
        <v>2855</v>
      </c>
      <c r="D1444" t="s">
        <v>2856</v>
      </c>
    </row>
    <row r="1445" spans="1:4" x14ac:dyDescent="0.3">
      <c r="A1445" t="s">
        <v>2842</v>
      </c>
      <c r="B1445" t="s">
        <v>2843</v>
      </c>
      <c r="C1445" t="s">
        <v>2857</v>
      </c>
      <c r="D1445" t="s">
        <v>2858</v>
      </c>
    </row>
    <row r="1446" spans="1:4" x14ac:dyDescent="0.3">
      <c r="A1446" t="s">
        <v>2842</v>
      </c>
      <c r="B1446" t="s">
        <v>2843</v>
      </c>
      <c r="C1446" t="s">
        <v>2859</v>
      </c>
      <c r="D1446" t="s">
        <v>2860</v>
      </c>
    </row>
    <row r="1447" spans="1:4" x14ac:dyDescent="0.3">
      <c r="A1447" t="s">
        <v>2842</v>
      </c>
      <c r="B1447" t="s">
        <v>2843</v>
      </c>
      <c r="C1447" t="s">
        <v>2861</v>
      </c>
      <c r="D1447" t="s">
        <v>2862</v>
      </c>
    </row>
    <row r="1448" spans="1:4" x14ac:dyDescent="0.3">
      <c r="A1448" t="s">
        <v>2842</v>
      </c>
      <c r="B1448" t="s">
        <v>2843</v>
      </c>
      <c r="C1448" t="s">
        <v>2863</v>
      </c>
      <c r="D1448" t="s">
        <v>2864</v>
      </c>
    </row>
    <row r="1449" spans="1:4" x14ac:dyDescent="0.3">
      <c r="A1449" t="s">
        <v>2842</v>
      </c>
      <c r="B1449" t="s">
        <v>2843</v>
      </c>
      <c r="C1449" t="s">
        <v>2865</v>
      </c>
      <c r="D1449" t="s">
        <v>2866</v>
      </c>
    </row>
    <row r="1450" spans="1:4" x14ac:dyDescent="0.3">
      <c r="A1450" t="s">
        <v>2842</v>
      </c>
      <c r="B1450" t="s">
        <v>2843</v>
      </c>
      <c r="C1450" t="s">
        <v>2867</v>
      </c>
      <c r="D1450" t="s">
        <v>2868</v>
      </c>
    </row>
    <row r="1451" spans="1:4" x14ac:dyDescent="0.3">
      <c r="A1451" t="s">
        <v>2842</v>
      </c>
      <c r="B1451" t="s">
        <v>2843</v>
      </c>
      <c r="C1451" t="s">
        <v>2869</v>
      </c>
      <c r="D1451" t="s">
        <v>2870</v>
      </c>
    </row>
    <row r="1452" spans="1:4" x14ac:dyDescent="0.3">
      <c r="A1452" t="s">
        <v>2842</v>
      </c>
      <c r="B1452" t="s">
        <v>2843</v>
      </c>
      <c r="C1452" t="s">
        <v>2871</v>
      </c>
      <c r="D1452" t="s">
        <v>2196</v>
      </c>
    </row>
    <row r="1453" spans="1:4" x14ac:dyDescent="0.3">
      <c r="A1453" t="s">
        <v>2842</v>
      </c>
      <c r="B1453" t="s">
        <v>2843</v>
      </c>
      <c r="C1453" t="s">
        <v>2872</v>
      </c>
      <c r="D1453" t="s">
        <v>2873</v>
      </c>
    </row>
    <row r="1454" spans="1:4" x14ac:dyDescent="0.3">
      <c r="A1454" t="s">
        <v>2842</v>
      </c>
      <c r="B1454" t="s">
        <v>2843</v>
      </c>
      <c r="C1454" t="s">
        <v>2874</v>
      </c>
      <c r="D1454" t="s">
        <v>2875</v>
      </c>
    </row>
    <row r="1455" spans="1:4" x14ac:dyDescent="0.3">
      <c r="A1455" t="s">
        <v>2842</v>
      </c>
      <c r="B1455" t="s">
        <v>2843</v>
      </c>
      <c r="C1455" t="s">
        <v>2876</v>
      </c>
      <c r="D1455" t="s">
        <v>2877</v>
      </c>
    </row>
    <row r="1456" spans="1:4" x14ac:dyDescent="0.3">
      <c r="A1456" t="s">
        <v>2842</v>
      </c>
      <c r="B1456" t="s">
        <v>2843</v>
      </c>
      <c r="C1456" t="s">
        <v>2878</v>
      </c>
      <c r="D1456" t="s">
        <v>2879</v>
      </c>
    </row>
    <row r="1457" spans="1:4" x14ac:dyDescent="0.3">
      <c r="A1457" t="s">
        <v>2842</v>
      </c>
      <c r="B1457" t="s">
        <v>2843</v>
      </c>
      <c r="C1457" t="s">
        <v>2880</v>
      </c>
      <c r="D1457" t="s">
        <v>995</v>
      </c>
    </row>
    <row r="1458" spans="1:4" x14ac:dyDescent="0.3">
      <c r="A1458" t="s">
        <v>2842</v>
      </c>
      <c r="B1458" t="s">
        <v>2843</v>
      </c>
      <c r="C1458" t="s">
        <v>2881</v>
      </c>
      <c r="D1458" t="s">
        <v>2882</v>
      </c>
    </row>
    <row r="1459" spans="1:4" x14ac:dyDescent="0.3">
      <c r="A1459" t="s">
        <v>2842</v>
      </c>
      <c r="B1459" t="s">
        <v>2843</v>
      </c>
      <c r="C1459" t="s">
        <v>2883</v>
      </c>
      <c r="D1459" t="s">
        <v>2884</v>
      </c>
    </row>
    <row r="1460" spans="1:4" x14ac:dyDescent="0.3">
      <c r="A1460" t="s">
        <v>1603</v>
      </c>
      <c r="B1460" t="s">
        <v>2885</v>
      </c>
      <c r="C1460" t="s">
        <v>2886</v>
      </c>
      <c r="D1460" t="s">
        <v>2887</v>
      </c>
    </row>
    <row r="1461" spans="1:4" x14ac:dyDescent="0.3">
      <c r="A1461" t="s">
        <v>1603</v>
      </c>
      <c r="B1461" t="s">
        <v>2885</v>
      </c>
      <c r="C1461" t="s">
        <v>2888</v>
      </c>
      <c r="D1461" t="s">
        <v>2889</v>
      </c>
    </row>
    <row r="1462" spans="1:4" x14ac:dyDescent="0.3">
      <c r="A1462" t="s">
        <v>1603</v>
      </c>
      <c r="B1462" t="s">
        <v>2885</v>
      </c>
      <c r="C1462" t="s">
        <v>2890</v>
      </c>
      <c r="D1462" t="s">
        <v>2891</v>
      </c>
    </row>
    <row r="1463" spans="1:4" x14ac:dyDescent="0.3">
      <c r="A1463" t="s">
        <v>1603</v>
      </c>
      <c r="B1463" t="s">
        <v>2885</v>
      </c>
      <c r="C1463" t="s">
        <v>2892</v>
      </c>
      <c r="D1463" t="s">
        <v>2893</v>
      </c>
    </row>
    <row r="1464" spans="1:4" x14ac:dyDescent="0.3">
      <c r="A1464" t="s">
        <v>1603</v>
      </c>
      <c r="B1464" t="s">
        <v>2885</v>
      </c>
      <c r="C1464" t="s">
        <v>2894</v>
      </c>
      <c r="D1464" t="s">
        <v>2895</v>
      </c>
    </row>
    <row r="1465" spans="1:4" x14ac:dyDescent="0.3">
      <c r="A1465" t="s">
        <v>1603</v>
      </c>
      <c r="B1465" t="s">
        <v>2885</v>
      </c>
      <c r="C1465" t="s">
        <v>2896</v>
      </c>
      <c r="D1465" t="s">
        <v>2897</v>
      </c>
    </row>
    <row r="1466" spans="1:4" x14ac:dyDescent="0.3">
      <c r="A1466" t="s">
        <v>1603</v>
      </c>
      <c r="B1466" t="s">
        <v>2885</v>
      </c>
      <c r="C1466" t="s">
        <v>2898</v>
      </c>
      <c r="D1466" t="s">
        <v>2899</v>
      </c>
    </row>
    <row r="1467" spans="1:4" x14ac:dyDescent="0.3">
      <c r="A1467" t="s">
        <v>1603</v>
      </c>
      <c r="B1467" t="s">
        <v>2885</v>
      </c>
      <c r="C1467" t="s">
        <v>2900</v>
      </c>
      <c r="D1467" t="s">
        <v>2901</v>
      </c>
    </row>
    <row r="1468" spans="1:4" x14ac:dyDescent="0.3">
      <c r="A1468" t="s">
        <v>1603</v>
      </c>
      <c r="B1468" t="s">
        <v>2885</v>
      </c>
      <c r="C1468" t="s">
        <v>2902</v>
      </c>
      <c r="D1468" t="s">
        <v>2903</v>
      </c>
    </row>
    <row r="1469" spans="1:4" x14ac:dyDescent="0.3">
      <c r="A1469" t="s">
        <v>1603</v>
      </c>
      <c r="B1469" t="s">
        <v>2885</v>
      </c>
      <c r="C1469" t="s">
        <v>2904</v>
      </c>
      <c r="D1469" t="s">
        <v>2905</v>
      </c>
    </row>
    <row r="1470" spans="1:4" x14ac:dyDescent="0.3">
      <c r="A1470" t="s">
        <v>1603</v>
      </c>
      <c r="B1470" t="s">
        <v>2885</v>
      </c>
      <c r="C1470" t="s">
        <v>2906</v>
      </c>
      <c r="D1470" t="s">
        <v>2907</v>
      </c>
    </row>
    <row r="1471" spans="1:4" x14ac:dyDescent="0.3">
      <c r="A1471" t="s">
        <v>1603</v>
      </c>
      <c r="B1471" t="s">
        <v>2885</v>
      </c>
      <c r="C1471" t="s">
        <v>2908</v>
      </c>
      <c r="D1471" t="s">
        <v>2909</v>
      </c>
    </row>
    <row r="1472" spans="1:4" x14ac:dyDescent="0.3">
      <c r="A1472" t="s">
        <v>1603</v>
      </c>
      <c r="B1472" t="s">
        <v>2885</v>
      </c>
      <c r="C1472" t="s">
        <v>2910</v>
      </c>
      <c r="D1472" t="s">
        <v>2911</v>
      </c>
    </row>
    <row r="1473" spans="1:4" x14ac:dyDescent="0.3">
      <c r="A1473" t="s">
        <v>1603</v>
      </c>
      <c r="B1473" t="s">
        <v>2885</v>
      </c>
      <c r="C1473" t="s">
        <v>2912</v>
      </c>
      <c r="D1473" t="s">
        <v>2913</v>
      </c>
    </row>
    <row r="1474" spans="1:4" x14ac:dyDescent="0.3">
      <c r="A1474" t="s">
        <v>1603</v>
      </c>
      <c r="B1474" t="s">
        <v>2885</v>
      </c>
      <c r="C1474" t="s">
        <v>2914</v>
      </c>
      <c r="D1474" t="s">
        <v>2915</v>
      </c>
    </row>
    <row r="1475" spans="1:4" x14ac:dyDescent="0.3">
      <c r="A1475" t="s">
        <v>1603</v>
      </c>
      <c r="B1475" t="s">
        <v>2885</v>
      </c>
      <c r="C1475" t="s">
        <v>2916</v>
      </c>
      <c r="D1475" t="s">
        <v>2917</v>
      </c>
    </row>
    <row r="1476" spans="1:4" x14ac:dyDescent="0.3">
      <c r="A1476" t="s">
        <v>1603</v>
      </c>
      <c r="B1476" t="s">
        <v>2885</v>
      </c>
      <c r="C1476" t="s">
        <v>2918</v>
      </c>
      <c r="D1476" t="s">
        <v>2919</v>
      </c>
    </row>
    <row r="1477" spans="1:4" x14ac:dyDescent="0.3">
      <c r="A1477" t="s">
        <v>1603</v>
      </c>
      <c r="B1477" t="s">
        <v>2885</v>
      </c>
      <c r="C1477" t="s">
        <v>2920</v>
      </c>
      <c r="D1477" t="s">
        <v>2921</v>
      </c>
    </row>
    <row r="1478" spans="1:4" x14ac:dyDescent="0.3">
      <c r="A1478" t="s">
        <v>1603</v>
      </c>
      <c r="B1478" t="s">
        <v>2885</v>
      </c>
      <c r="C1478" t="s">
        <v>2922</v>
      </c>
      <c r="D1478" t="s">
        <v>2923</v>
      </c>
    </row>
    <row r="1479" spans="1:4" x14ac:dyDescent="0.3">
      <c r="A1479" t="s">
        <v>1603</v>
      </c>
      <c r="B1479" t="s">
        <v>2885</v>
      </c>
      <c r="C1479" t="s">
        <v>2924</v>
      </c>
      <c r="D1479" t="s">
        <v>2925</v>
      </c>
    </row>
    <row r="1480" spans="1:4" x14ac:dyDescent="0.3">
      <c r="A1480" t="s">
        <v>1603</v>
      </c>
      <c r="B1480" t="s">
        <v>2885</v>
      </c>
      <c r="C1480" t="s">
        <v>2926</v>
      </c>
      <c r="D1480" t="s">
        <v>2927</v>
      </c>
    </row>
    <row r="1481" spans="1:4" x14ac:dyDescent="0.3">
      <c r="A1481" t="s">
        <v>1603</v>
      </c>
      <c r="B1481" t="s">
        <v>2885</v>
      </c>
      <c r="C1481" t="s">
        <v>2928</v>
      </c>
      <c r="D1481" t="s">
        <v>2929</v>
      </c>
    </row>
    <row r="1482" spans="1:4" x14ac:dyDescent="0.3">
      <c r="A1482" t="s">
        <v>1603</v>
      </c>
      <c r="B1482" t="s">
        <v>2885</v>
      </c>
      <c r="C1482" t="s">
        <v>2930</v>
      </c>
      <c r="D1482" t="s">
        <v>2931</v>
      </c>
    </row>
    <row r="1483" spans="1:4" x14ac:dyDescent="0.3">
      <c r="A1483" t="s">
        <v>1603</v>
      </c>
      <c r="B1483" t="s">
        <v>2885</v>
      </c>
      <c r="C1483" t="s">
        <v>2932</v>
      </c>
      <c r="D1483" t="s">
        <v>2933</v>
      </c>
    </row>
    <row r="1484" spans="1:4" x14ac:dyDescent="0.3">
      <c r="A1484" t="s">
        <v>2934</v>
      </c>
      <c r="B1484" t="s">
        <v>2935</v>
      </c>
      <c r="C1484" t="s">
        <v>2936</v>
      </c>
      <c r="D1484" t="s">
        <v>2937</v>
      </c>
    </row>
    <row r="1485" spans="1:4" x14ac:dyDescent="0.3">
      <c r="A1485" t="s">
        <v>2934</v>
      </c>
      <c r="B1485" t="s">
        <v>2935</v>
      </c>
      <c r="C1485" t="s">
        <v>2938</v>
      </c>
      <c r="D1485" t="s">
        <v>2939</v>
      </c>
    </row>
    <row r="1486" spans="1:4" x14ac:dyDescent="0.3">
      <c r="A1486" t="s">
        <v>2934</v>
      </c>
      <c r="B1486" t="s">
        <v>2935</v>
      </c>
      <c r="C1486" t="s">
        <v>2940</v>
      </c>
      <c r="D1486" t="s">
        <v>2941</v>
      </c>
    </row>
    <row r="1487" spans="1:4" x14ac:dyDescent="0.3">
      <c r="A1487" t="s">
        <v>2934</v>
      </c>
      <c r="B1487" t="s">
        <v>2935</v>
      </c>
      <c r="C1487" t="s">
        <v>2942</v>
      </c>
      <c r="D1487" t="s">
        <v>2943</v>
      </c>
    </row>
    <row r="1488" spans="1:4" x14ac:dyDescent="0.3">
      <c r="A1488" t="s">
        <v>2934</v>
      </c>
      <c r="B1488" t="s">
        <v>2935</v>
      </c>
      <c r="C1488" t="s">
        <v>2944</v>
      </c>
      <c r="D1488" t="s">
        <v>2945</v>
      </c>
    </row>
    <row r="1489" spans="1:4" x14ac:dyDescent="0.3">
      <c r="A1489" t="s">
        <v>2934</v>
      </c>
      <c r="B1489" t="s">
        <v>2935</v>
      </c>
      <c r="C1489" t="s">
        <v>2946</v>
      </c>
      <c r="D1489" t="s">
        <v>2947</v>
      </c>
    </row>
    <row r="1490" spans="1:4" x14ac:dyDescent="0.3">
      <c r="A1490" t="s">
        <v>2934</v>
      </c>
      <c r="B1490" t="s">
        <v>2935</v>
      </c>
      <c r="C1490" t="s">
        <v>2948</v>
      </c>
      <c r="D1490" t="s">
        <v>2949</v>
      </c>
    </row>
    <row r="1491" spans="1:4" x14ac:dyDescent="0.3">
      <c r="A1491" t="s">
        <v>2934</v>
      </c>
      <c r="B1491" t="s">
        <v>2935</v>
      </c>
      <c r="C1491" t="s">
        <v>2950</v>
      </c>
      <c r="D1491" t="s">
        <v>2951</v>
      </c>
    </row>
    <row r="1492" spans="1:4" x14ac:dyDescent="0.3">
      <c r="A1492" t="s">
        <v>2934</v>
      </c>
      <c r="B1492" t="s">
        <v>2935</v>
      </c>
      <c r="C1492" t="s">
        <v>2952</v>
      </c>
      <c r="D1492" t="s">
        <v>2953</v>
      </c>
    </row>
    <row r="1493" spans="1:4" x14ac:dyDescent="0.3">
      <c r="A1493" t="s">
        <v>2934</v>
      </c>
      <c r="B1493" t="s">
        <v>2935</v>
      </c>
      <c r="C1493" t="s">
        <v>2954</v>
      </c>
      <c r="D1493" t="s">
        <v>2955</v>
      </c>
    </row>
    <row r="1494" spans="1:4" x14ac:dyDescent="0.3">
      <c r="A1494" t="s">
        <v>2934</v>
      </c>
      <c r="B1494" t="s">
        <v>2935</v>
      </c>
      <c r="C1494" t="s">
        <v>2956</v>
      </c>
      <c r="D1494" t="s">
        <v>2957</v>
      </c>
    </row>
    <row r="1495" spans="1:4" x14ac:dyDescent="0.3">
      <c r="A1495" t="s">
        <v>2934</v>
      </c>
      <c r="B1495" t="s">
        <v>2935</v>
      </c>
      <c r="C1495" t="s">
        <v>2958</v>
      </c>
      <c r="D1495" t="s">
        <v>2959</v>
      </c>
    </row>
    <row r="1496" spans="1:4" x14ac:dyDescent="0.3">
      <c r="A1496" t="s">
        <v>2934</v>
      </c>
      <c r="B1496" t="s">
        <v>2935</v>
      </c>
      <c r="C1496" t="s">
        <v>2960</v>
      </c>
      <c r="D1496" t="s">
        <v>2961</v>
      </c>
    </row>
    <row r="1497" spans="1:4" x14ac:dyDescent="0.3">
      <c r="A1497" t="s">
        <v>2934</v>
      </c>
      <c r="B1497" t="s">
        <v>2935</v>
      </c>
      <c r="C1497" t="s">
        <v>2990</v>
      </c>
      <c r="D1497" t="s">
        <v>4290</v>
      </c>
    </row>
    <row r="1498" spans="1:4" x14ac:dyDescent="0.3">
      <c r="A1498" t="s">
        <v>2934</v>
      </c>
      <c r="B1498" t="s">
        <v>2935</v>
      </c>
      <c r="C1498" t="s">
        <v>2962</v>
      </c>
      <c r="D1498" t="s">
        <v>2963</v>
      </c>
    </row>
    <row r="1499" spans="1:4" x14ac:dyDescent="0.3">
      <c r="A1499" t="s">
        <v>2934</v>
      </c>
      <c r="B1499" t="s">
        <v>2935</v>
      </c>
      <c r="C1499" t="s">
        <v>2964</v>
      </c>
      <c r="D1499" t="s">
        <v>2965</v>
      </c>
    </row>
    <row r="1500" spans="1:4" x14ac:dyDescent="0.3">
      <c r="A1500" t="s">
        <v>2934</v>
      </c>
      <c r="B1500" t="s">
        <v>2935</v>
      </c>
      <c r="C1500" t="s">
        <v>2966</v>
      </c>
      <c r="D1500" t="s">
        <v>2967</v>
      </c>
    </row>
    <row r="1501" spans="1:4" x14ac:dyDescent="0.3">
      <c r="A1501" t="s">
        <v>2934</v>
      </c>
      <c r="B1501" t="s">
        <v>2935</v>
      </c>
      <c r="C1501" t="s">
        <v>2968</v>
      </c>
      <c r="D1501" t="s">
        <v>2969</v>
      </c>
    </row>
    <row r="1502" spans="1:4" x14ac:dyDescent="0.3">
      <c r="A1502" t="s">
        <v>2934</v>
      </c>
      <c r="B1502" t="s">
        <v>2935</v>
      </c>
      <c r="C1502" t="s">
        <v>2970</v>
      </c>
      <c r="D1502" t="s">
        <v>2971</v>
      </c>
    </row>
    <row r="1503" spans="1:4" x14ac:dyDescent="0.3">
      <c r="A1503" t="s">
        <v>2934</v>
      </c>
      <c r="B1503" t="s">
        <v>2935</v>
      </c>
      <c r="C1503" t="s">
        <v>2972</v>
      </c>
      <c r="D1503" t="s">
        <v>2973</v>
      </c>
    </row>
    <row r="1504" spans="1:4" x14ac:dyDescent="0.3">
      <c r="A1504" t="s">
        <v>2934</v>
      </c>
      <c r="B1504" t="s">
        <v>2935</v>
      </c>
      <c r="C1504" t="s">
        <v>2974</v>
      </c>
      <c r="D1504" t="s">
        <v>2975</v>
      </c>
    </row>
    <row r="1505" spans="1:4" x14ac:dyDescent="0.3">
      <c r="A1505" t="s">
        <v>2934</v>
      </c>
      <c r="B1505" t="s">
        <v>2935</v>
      </c>
      <c r="C1505" t="s">
        <v>2976</v>
      </c>
      <c r="D1505" t="s">
        <v>2977</v>
      </c>
    </row>
    <row r="1506" spans="1:4" x14ac:dyDescent="0.3">
      <c r="A1506" t="s">
        <v>2934</v>
      </c>
      <c r="B1506" t="s">
        <v>2935</v>
      </c>
      <c r="C1506" t="s">
        <v>2978</v>
      </c>
      <c r="D1506" t="s">
        <v>2979</v>
      </c>
    </row>
    <row r="1507" spans="1:4" x14ac:dyDescent="0.3">
      <c r="A1507" t="s">
        <v>2934</v>
      </c>
      <c r="B1507" t="s">
        <v>2935</v>
      </c>
      <c r="C1507" t="s">
        <v>2980</v>
      </c>
      <c r="D1507" t="s">
        <v>2981</v>
      </c>
    </row>
    <row r="1508" spans="1:4" x14ac:dyDescent="0.3">
      <c r="A1508" t="s">
        <v>2934</v>
      </c>
      <c r="B1508" t="s">
        <v>2935</v>
      </c>
      <c r="C1508" t="s">
        <v>2982</v>
      </c>
      <c r="D1508" t="s">
        <v>2983</v>
      </c>
    </row>
    <row r="1509" spans="1:4" x14ac:dyDescent="0.3">
      <c r="A1509" t="s">
        <v>2934</v>
      </c>
      <c r="B1509" t="s">
        <v>2935</v>
      </c>
      <c r="C1509" t="s">
        <v>2984</v>
      </c>
      <c r="D1509" t="s">
        <v>2985</v>
      </c>
    </row>
    <row r="1510" spans="1:4" x14ac:dyDescent="0.3">
      <c r="A1510" t="s">
        <v>2934</v>
      </c>
      <c r="B1510" t="s">
        <v>2935</v>
      </c>
      <c r="C1510" t="s">
        <v>4291</v>
      </c>
      <c r="D1510" t="s">
        <v>4292</v>
      </c>
    </row>
    <row r="1511" spans="1:4" x14ac:dyDescent="0.3">
      <c r="A1511" t="s">
        <v>2934</v>
      </c>
      <c r="B1511" t="s">
        <v>2935</v>
      </c>
      <c r="C1511" t="s">
        <v>2986</v>
      </c>
      <c r="D1511" t="s">
        <v>2987</v>
      </c>
    </row>
    <row r="1512" spans="1:4" x14ac:dyDescent="0.3">
      <c r="A1512" t="s">
        <v>2934</v>
      </c>
      <c r="B1512" t="s">
        <v>2935</v>
      </c>
      <c r="C1512" t="s">
        <v>2988</v>
      </c>
      <c r="D1512" t="s">
        <v>2989</v>
      </c>
    </row>
    <row r="1513" spans="1:4" x14ac:dyDescent="0.3">
      <c r="A1513" t="s">
        <v>2991</v>
      </c>
      <c r="B1513" t="s">
        <v>2992</v>
      </c>
      <c r="C1513" t="s">
        <v>2993</v>
      </c>
      <c r="D1513" t="s">
        <v>2994</v>
      </c>
    </row>
    <row r="1514" spans="1:4" x14ac:dyDescent="0.3">
      <c r="A1514" t="s">
        <v>2991</v>
      </c>
      <c r="B1514" t="s">
        <v>2992</v>
      </c>
      <c r="C1514" t="s">
        <v>2995</v>
      </c>
      <c r="D1514" t="s">
        <v>2996</v>
      </c>
    </row>
    <row r="1515" spans="1:4" x14ac:dyDescent="0.3">
      <c r="A1515" t="s">
        <v>2991</v>
      </c>
      <c r="B1515" t="s">
        <v>2992</v>
      </c>
      <c r="C1515" t="s">
        <v>2997</v>
      </c>
      <c r="D1515" t="s">
        <v>2998</v>
      </c>
    </row>
    <row r="1516" spans="1:4" x14ac:dyDescent="0.3">
      <c r="A1516" t="s">
        <v>2991</v>
      </c>
      <c r="B1516" t="s">
        <v>2992</v>
      </c>
      <c r="C1516" t="s">
        <v>2999</v>
      </c>
      <c r="D1516" t="s">
        <v>3000</v>
      </c>
    </row>
    <row r="1517" spans="1:4" x14ac:dyDescent="0.3">
      <c r="A1517" t="s">
        <v>2991</v>
      </c>
      <c r="B1517" t="s">
        <v>2992</v>
      </c>
      <c r="C1517" t="s">
        <v>3001</v>
      </c>
      <c r="D1517" t="s">
        <v>3002</v>
      </c>
    </row>
    <row r="1518" spans="1:4" x14ac:dyDescent="0.3">
      <c r="A1518" t="s">
        <v>2991</v>
      </c>
      <c r="B1518" t="s">
        <v>2992</v>
      </c>
      <c r="C1518" t="s">
        <v>3003</v>
      </c>
      <c r="D1518" t="s">
        <v>3004</v>
      </c>
    </row>
    <row r="1519" spans="1:4" x14ac:dyDescent="0.3">
      <c r="A1519" t="s">
        <v>2991</v>
      </c>
      <c r="B1519" t="s">
        <v>2992</v>
      </c>
      <c r="C1519" t="s">
        <v>3005</v>
      </c>
      <c r="D1519" t="s">
        <v>3006</v>
      </c>
    </row>
    <row r="1520" spans="1:4" x14ac:dyDescent="0.3">
      <c r="A1520" t="s">
        <v>2991</v>
      </c>
      <c r="B1520" t="s">
        <v>2992</v>
      </c>
      <c r="C1520" t="s">
        <v>3007</v>
      </c>
      <c r="D1520" t="s">
        <v>3008</v>
      </c>
    </row>
    <row r="1521" spans="1:4" x14ac:dyDescent="0.3">
      <c r="A1521" t="s">
        <v>2991</v>
      </c>
      <c r="B1521" t="s">
        <v>2992</v>
      </c>
      <c r="C1521" t="s">
        <v>3009</v>
      </c>
      <c r="D1521" t="s">
        <v>3010</v>
      </c>
    </row>
    <row r="1522" spans="1:4" x14ac:dyDescent="0.3">
      <c r="A1522" t="s">
        <v>2991</v>
      </c>
      <c r="B1522" t="s">
        <v>2992</v>
      </c>
      <c r="C1522" t="s">
        <v>3011</v>
      </c>
      <c r="D1522" t="s">
        <v>3012</v>
      </c>
    </row>
    <row r="1523" spans="1:4" x14ac:dyDescent="0.3">
      <c r="A1523" t="s">
        <v>2991</v>
      </c>
      <c r="B1523" t="s">
        <v>2992</v>
      </c>
      <c r="C1523" t="s">
        <v>3013</v>
      </c>
      <c r="D1523" t="s">
        <v>3014</v>
      </c>
    </row>
    <row r="1524" spans="1:4" x14ac:dyDescent="0.3">
      <c r="A1524" t="s">
        <v>2991</v>
      </c>
      <c r="B1524" t="s">
        <v>2992</v>
      </c>
      <c r="C1524" t="s">
        <v>3015</v>
      </c>
      <c r="D1524" t="s">
        <v>3016</v>
      </c>
    </row>
    <row r="1525" spans="1:4" x14ac:dyDescent="0.3">
      <c r="A1525" t="s">
        <v>2991</v>
      </c>
      <c r="B1525" t="s">
        <v>2992</v>
      </c>
      <c r="C1525" t="s">
        <v>3017</v>
      </c>
      <c r="D1525" t="s">
        <v>1636</v>
      </c>
    </row>
    <row r="1526" spans="1:4" x14ac:dyDescent="0.3">
      <c r="A1526" t="s">
        <v>2991</v>
      </c>
      <c r="B1526" t="s">
        <v>2992</v>
      </c>
      <c r="C1526" t="s">
        <v>3018</v>
      </c>
      <c r="D1526" t="s">
        <v>3019</v>
      </c>
    </row>
    <row r="1527" spans="1:4" x14ac:dyDescent="0.3">
      <c r="A1527" t="s">
        <v>2991</v>
      </c>
      <c r="B1527" t="s">
        <v>2992</v>
      </c>
      <c r="C1527" t="s">
        <v>3020</v>
      </c>
      <c r="D1527" t="s">
        <v>3021</v>
      </c>
    </row>
    <row r="1528" spans="1:4" x14ac:dyDescent="0.3">
      <c r="A1528" t="s">
        <v>2991</v>
      </c>
      <c r="B1528" t="s">
        <v>2992</v>
      </c>
      <c r="C1528" t="s">
        <v>3022</v>
      </c>
      <c r="D1528" t="s">
        <v>3023</v>
      </c>
    </row>
    <row r="1529" spans="1:4" x14ac:dyDescent="0.3">
      <c r="A1529" t="s">
        <v>2991</v>
      </c>
      <c r="B1529" t="s">
        <v>2992</v>
      </c>
      <c r="C1529" t="s">
        <v>3024</v>
      </c>
      <c r="D1529" t="s">
        <v>3025</v>
      </c>
    </row>
    <row r="1530" spans="1:4" x14ac:dyDescent="0.3">
      <c r="A1530" t="s">
        <v>2991</v>
      </c>
      <c r="B1530" t="s">
        <v>2992</v>
      </c>
      <c r="C1530" t="s">
        <v>3026</v>
      </c>
      <c r="D1530" t="s">
        <v>3027</v>
      </c>
    </row>
    <row r="1531" spans="1:4" x14ac:dyDescent="0.3">
      <c r="A1531" t="s">
        <v>2991</v>
      </c>
      <c r="B1531" t="s">
        <v>2992</v>
      </c>
      <c r="C1531" t="s">
        <v>3028</v>
      </c>
      <c r="D1531" t="s">
        <v>3029</v>
      </c>
    </row>
    <row r="1532" spans="1:4" x14ac:dyDescent="0.3">
      <c r="A1532" t="s">
        <v>2991</v>
      </c>
      <c r="B1532" t="s">
        <v>2992</v>
      </c>
      <c r="C1532" t="s">
        <v>3030</v>
      </c>
      <c r="D1532" t="s">
        <v>3031</v>
      </c>
    </row>
    <row r="1533" spans="1:4" x14ac:dyDescent="0.3">
      <c r="A1533" t="s">
        <v>1423</v>
      </c>
      <c r="B1533" t="s">
        <v>3032</v>
      </c>
      <c r="C1533" t="s">
        <v>3033</v>
      </c>
      <c r="D1533" t="s">
        <v>4177</v>
      </c>
    </row>
    <row r="1534" spans="1:4" x14ac:dyDescent="0.3">
      <c r="A1534" t="s">
        <v>1423</v>
      </c>
      <c r="B1534" t="s">
        <v>3032</v>
      </c>
      <c r="C1534" t="s">
        <v>3034</v>
      </c>
      <c r="D1534" t="s">
        <v>3035</v>
      </c>
    </row>
    <row r="1535" spans="1:4" x14ac:dyDescent="0.3">
      <c r="A1535" t="s">
        <v>1423</v>
      </c>
      <c r="B1535" t="s">
        <v>3032</v>
      </c>
      <c r="C1535" t="s">
        <v>3036</v>
      </c>
      <c r="D1535" t="s">
        <v>4176</v>
      </c>
    </row>
    <row r="1536" spans="1:4" x14ac:dyDescent="0.3">
      <c r="A1536" t="s">
        <v>3037</v>
      </c>
      <c r="B1536" t="s">
        <v>3038</v>
      </c>
      <c r="C1536" t="s">
        <v>3039</v>
      </c>
      <c r="D1536" t="s">
        <v>3040</v>
      </c>
    </row>
    <row r="1537" spans="1:4" x14ac:dyDescent="0.3">
      <c r="A1537" t="s">
        <v>3037</v>
      </c>
      <c r="B1537" t="s">
        <v>3038</v>
      </c>
      <c r="C1537" t="s">
        <v>3041</v>
      </c>
      <c r="D1537" t="s">
        <v>3042</v>
      </c>
    </row>
    <row r="1538" spans="1:4" x14ac:dyDescent="0.3">
      <c r="A1538" t="s">
        <v>3037</v>
      </c>
      <c r="B1538" t="s">
        <v>3038</v>
      </c>
      <c r="C1538" t="s">
        <v>3043</v>
      </c>
      <c r="D1538" t="s">
        <v>3044</v>
      </c>
    </row>
    <row r="1539" spans="1:4" x14ac:dyDescent="0.3">
      <c r="A1539" t="s">
        <v>3037</v>
      </c>
      <c r="B1539" t="s">
        <v>3038</v>
      </c>
      <c r="C1539" t="s">
        <v>3045</v>
      </c>
      <c r="D1539" t="s">
        <v>3046</v>
      </c>
    </row>
    <row r="1540" spans="1:4" x14ac:dyDescent="0.3">
      <c r="A1540" t="s">
        <v>3037</v>
      </c>
      <c r="B1540" t="s">
        <v>3038</v>
      </c>
      <c r="C1540" t="s">
        <v>3047</v>
      </c>
      <c r="D1540" t="s">
        <v>3048</v>
      </c>
    </row>
    <row r="1541" spans="1:4" x14ac:dyDescent="0.3">
      <c r="A1541" t="s">
        <v>3037</v>
      </c>
      <c r="B1541" t="s">
        <v>3038</v>
      </c>
      <c r="C1541" t="s">
        <v>3049</v>
      </c>
      <c r="D1541" t="s">
        <v>3050</v>
      </c>
    </row>
    <row r="1542" spans="1:4" x14ac:dyDescent="0.3">
      <c r="A1542" t="s">
        <v>3037</v>
      </c>
      <c r="B1542" t="s">
        <v>3038</v>
      </c>
      <c r="C1542" t="s">
        <v>3051</v>
      </c>
      <c r="D1542" t="s">
        <v>3052</v>
      </c>
    </row>
    <row r="1543" spans="1:4" x14ac:dyDescent="0.3">
      <c r="A1543" t="s">
        <v>3037</v>
      </c>
      <c r="B1543" t="s">
        <v>3038</v>
      </c>
      <c r="C1543" t="s">
        <v>3053</v>
      </c>
      <c r="D1543" t="s">
        <v>3054</v>
      </c>
    </row>
    <row r="1544" spans="1:4" x14ac:dyDescent="0.3">
      <c r="A1544" t="s">
        <v>3037</v>
      </c>
      <c r="B1544" t="s">
        <v>3038</v>
      </c>
      <c r="C1544" t="s">
        <v>3055</v>
      </c>
      <c r="D1544" t="s">
        <v>3056</v>
      </c>
    </row>
    <row r="1545" spans="1:4" x14ac:dyDescent="0.3">
      <c r="A1545" t="s">
        <v>3037</v>
      </c>
      <c r="B1545" t="s">
        <v>3038</v>
      </c>
      <c r="C1545" t="s">
        <v>3058</v>
      </c>
      <c r="D1545" t="s">
        <v>3059</v>
      </c>
    </row>
    <row r="1546" spans="1:4" x14ac:dyDescent="0.3">
      <c r="A1546" t="s">
        <v>3037</v>
      </c>
      <c r="B1546" t="s">
        <v>3038</v>
      </c>
      <c r="C1546" t="s">
        <v>3060</v>
      </c>
      <c r="D1546" t="s">
        <v>3061</v>
      </c>
    </row>
    <row r="1547" spans="1:4" x14ac:dyDescent="0.3">
      <c r="A1547" t="s">
        <v>3037</v>
      </c>
      <c r="B1547" t="s">
        <v>3038</v>
      </c>
      <c r="C1547" t="s">
        <v>3062</v>
      </c>
      <c r="D1547" t="s">
        <v>3063</v>
      </c>
    </row>
    <row r="1548" spans="1:4" x14ac:dyDescent="0.3">
      <c r="A1548" t="s">
        <v>3037</v>
      </c>
      <c r="B1548" t="s">
        <v>3038</v>
      </c>
      <c r="C1548" t="s">
        <v>4178</v>
      </c>
      <c r="D1548" t="s">
        <v>4179</v>
      </c>
    </row>
    <row r="1549" spans="1:4" x14ac:dyDescent="0.3">
      <c r="A1549" t="s">
        <v>3037</v>
      </c>
      <c r="B1549" t="s">
        <v>3038</v>
      </c>
      <c r="C1549" t="s">
        <v>3064</v>
      </c>
      <c r="D1549" t="s">
        <v>3065</v>
      </c>
    </row>
    <row r="1550" spans="1:4" x14ac:dyDescent="0.3">
      <c r="A1550" t="s">
        <v>3037</v>
      </c>
      <c r="B1550" t="s">
        <v>3038</v>
      </c>
      <c r="C1550" t="s">
        <v>3066</v>
      </c>
      <c r="D1550" t="s">
        <v>3067</v>
      </c>
    </row>
    <row r="1551" spans="1:4" x14ac:dyDescent="0.3">
      <c r="A1551" t="s">
        <v>3037</v>
      </c>
      <c r="B1551" t="s">
        <v>3038</v>
      </c>
      <c r="C1551" t="s">
        <v>3068</v>
      </c>
      <c r="D1551" t="s">
        <v>3069</v>
      </c>
    </row>
    <row r="1552" spans="1:4" x14ac:dyDescent="0.3">
      <c r="A1552" t="s">
        <v>3037</v>
      </c>
      <c r="B1552" t="s">
        <v>3038</v>
      </c>
      <c r="C1552" t="s">
        <v>3070</v>
      </c>
      <c r="D1552" t="s">
        <v>3071</v>
      </c>
    </row>
    <row r="1553" spans="1:4" x14ac:dyDescent="0.3">
      <c r="A1553" t="s">
        <v>3037</v>
      </c>
      <c r="B1553" t="s">
        <v>3038</v>
      </c>
      <c r="C1553" t="s">
        <v>3072</v>
      </c>
      <c r="D1553" t="s">
        <v>3073</v>
      </c>
    </row>
    <row r="1554" spans="1:4" x14ac:dyDescent="0.3">
      <c r="A1554" t="s">
        <v>3037</v>
      </c>
      <c r="B1554" t="s">
        <v>3038</v>
      </c>
      <c r="C1554" t="s">
        <v>3074</v>
      </c>
      <c r="D1554" t="s">
        <v>3075</v>
      </c>
    </row>
    <row r="1555" spans="1:4" x14ac:dyDescent="0.3">
      <c r="A1555" t="s">
        <v>3037</v>
      </c>
      <c r="B1555" t="s">
        <v>3038</v>
      </c>
      <c r="C1555" t="s">
        <v>3076</v>
      </c>
      <c r="D1555" t="s">
        <v>3077</v>
      </c>
    </row>
    <row r="1556" spans="1:4" x14ac:dyDescent="0.3">
      <c r="A1556" t="s">
        <v>3037</v>
      </c>
      <c r="B1556" t="s">
        <v>3038</v>
      </c>
      <c r="C1556" t="s">
        <v>3078</v>
      </c>
      <c r="D1556" t="s">
        <v>3079</v>
      </c>
    </row>
    <row r="1557" spans="1:4" x14ac:dyDescent="0.3">
      <c r="A1557" t="s">
        <v>3037</v>
      </c>
      <c r="B1557" t="s">
        <v>3038</v>
      </c>
      <c r="C1557" t="s">
        <v>3080</v>
      </c>
      <c r="D1557" t="s">
        <v>3081</v>
      </c>
    </row>
    <row r="1558" spans="1:4" x14ac:dyDescent="0.3">
      <c r="A1558" t="s">
        <v>3037</v>
      </c>
      <c r="B1558" t="s">
        <v>3038</v>
      </c>
      <c r="C1558" t="s">
        <v>4182</v>
      </c>
      <c r="D1558" t="s">
        <v>4183</v>
      </c>
    </row>
    <row r="1559" spans="1:4" x14ac:dyDescent="0.3">
      <c r="A1559" t="s">
        <v>3037</v>
      </c>
      <c r="B1559" t="s">
        <v>3038</v>
      </c>
      <c r="C1559" t="s">
        <v>3082</v>
      </c>
      <c r="D1559" t="s">
        <v>3083</v>
      </c>
    </row>
    <row r="1560" spans="1:4" x14ac:dyDescent="0.3">
      <c r="A1560" t="s">
        <v>3037</v>
      </c>
      <c r="B1560" t="s">
        <v>3038</v>
      </c>
      <c r="C1560" t="s">
        <v>3084</v>
      </c>
      <c r="D1560" t="s">
        <v>3085</v>
      </c>
    </row>
    <row r="1561" spans="1:4" x14ac:dyDescent="0.3">
      <c r="A1561" t="s">
        <v>3037</v>
      </c>
      <c r="B1561" t="s">
        <v>3038</v>
      </c>
      <c r="C1561" t="s">
        <v>3086</v>
      </c>
      <c r="D1561" t="s">
        <v>3087</v>
      </c>
    </row>
    <row r="1562" spans="1:4" x14ac:dyDescent="0.3">
      <c r="A1562" t="s">
        <v>3037</v>
      </c>
      <c r="B1562" t="s">
        <v>3038</v>
      </c>
      <c r="C1562" t="s">
        <v>3088</v>
      </c>
      <c r="D1562" t="s">
        <v>3089</v>
      </c>
    </row>
    <row r="1563" spans="1:4" x14ac:dyDescent="0.3">
      <c r="A1563" t="s">
        <v>3037</v>
      </c>
      <c r="B1563" t="s">
        <v>3038</v>
      </c>
      <c r="C1563" t="s">
        <v>3090</v>
      </c>
      <c r="D1563" t="s">
        <v>3091</v>
      </c>
    </row>
    <row r="1564" spans="1:4" x14ac:dyDescent="0.3">
      <c r="A1564" t="s">
        <v>3037</v>
      </c>
      <c r="B1564" t="s">
        <v>3038</v>
      </c>
      <c r="C1564" t="s">
        <v>3092</v>
      </c>
      <c r="D1564" t="s">
        <v>3093</v>
      </c>
    </row>
    <row r="1565" spans="1:4" x14ac:dyDescent="0.3">
      <c r="A1565" t="s">
        <v>3037</v>
      </c>
      <c r="B1565" t="s">
        <v>3038</v>
      </c>
      <c r="C1565" t="s">
        <v>3094</v>
      </c>
      <c r="D1565" t="s">
        <v>3095</v>
      </c>
    </row>
    <row r="1566" spans="1:4" x14ac:dyDescent="0.3">
      <c r="A1566" t="s">
        <v>3037</v>
      </c>
      <c r="B1566" t="s">
        <v>3038</v>
      </c>
      <c r="C1566" t="s">
        <v>3096</v>
      </c>
      <c r="D1566" t="s">
        <v>3097</v>
      </c>
    </row>
    <row r="1567" spans="1:4" x14ac:dyDescent="0.3">
      <c r="A1567" t="s">
        <v>3037</v>
      </c>
      <c r="B1567" t="s">
        <v>3038</v>
      </c>
      <c r="C1567" t="s">
        <v>3098</v>
      </c>
      <c r="D1567" t="s">
        <v>3099</v>
      </c>
    </row>
    <row r="1568" spans="1:4" x14ac:dyDescent="0.3">
      <c r="A1568" t="s">
        <v>3037</v>
      </c>
      <c r="B1568" t="s">
        <v>3038</v>
      </c>
      <c r="C1568" t="s">
        <v>3100</v>
      </c>
      <c r="D1568" t="s">
        <v>3101</v>
      </c>
    </row>
    <row r="1569" spans="1:4" x14ac:dyDescent="0.3">
      <c r="A1569" t="s">
        <v>3037</v>
      </c>
      <c r="B1569" t="s">
        <v>3038</v>
      </c>
      <c r="C1569" t="s">
        <v>3102</v>
      </c>
      <c r="D1569" t="s">
        <v>3103</v>
      </c>
    </row>
    <row r="1570" spans="1:4" x14ac:dyDescent="0.3">
      <c r="A1570" t="s">
        <v>3037</v>
      </c>
      <c r="B1570" t="s">
        <v>3038</v>
      </c>
      <c r="C1570" t="s">
        <v>3104</v>
      </c>
      <c r="D1570" t="s">
        <v>3105</v>
      </c>
    </row>
    <row r="1571" spans="1:4" x14ac:dyDescent="0.3">
      <c r="A1571" t="s">
        <v>3037</v>
      </c>
      <c r="B1571" t="s">
        <v>3038</v>
      </c>
      <c r="C1571" t="s">
        <v>3106</v>
      </c>
      <c r="D1571" t="s">
        <v>3107</v>
      </c>
    </row>
    <row r="1572" spans="1:4" x14ac:dyDescent="0.3">
      <c r="A1572" t="s">
        <v>3037</v>
      </c>
      <c r="B1572" t="s">
        <v>3038</v>
      </c>
      <c r="C1572" t="s">
        <v>3108</v>
      </c>
      <c r="D1572" t="s">
        <v>3109</v>
      </c>
    </row>
    <row r="1573" spans="1:4" x14ac:dyDescent="0.3">
      <c r="A1573" t="s">
        <v>3037</v>
      </c>
      <c r="B1573" t="s">
        <v>3038</v>
      </c>
      <c r="C1573" t="s">
        <v>3110</v>
      </c>
      <c r="D1573" t="s">
        <v>3111</v>
      </c>
    </row>
    <row r="1574" spans="1:4" x14ac:dyDescent="0.3">
      <c r="A1574" t="s">
        <v>3037</v>
      </c>
      <c r="B1574" t="s">
        <v>3038</v>
      </c>
      <c r="C1574" t="s">
        <v>3112</v>
      </c>
      <c r="D1574" t="s">
        <v>3113</v>
      </c>
    </row>
    <row r="1575" spans="1:4" x14ac:dyDescent="0.3">
      <c r="A1575" t="s">
        <v>3037</v>
      </c>
      <c r="B1575" t="s">
        <v>3038</v>
      </c>
      <c r="C1575" t="s">
        <v>3114</v>
      </c>
      <c r="D1575" t="s">
        <v>3115</v>
      </c>
    </row>
    <row r="1576" spans="1:4" x14ac:dyDescent="0.3">
      <c r="A1576" t="s">
        <v>3037</v>
      </c>
      <c r="B1576" t="s">
        <v>3038</v>
      </c>
      <c r="C1576" t="s">
        <v>3116</v>
      </c>
      <c r="D1576" t="s">
        <v>3117</v>
      </c>
    </row>
    <row r="1577" spans="1:4" x14ac:dyDescent="0.3">
      <c r="A1577" t="s">
        <v>3037</v>
      </c>
      <c r="B1577" t="s">
        <v>3038</v>
      </c>
      <c r="C1577" t="s">
        <v>3118</v>
      </c>
      <c r="D1577" t="s">
        <v>3119</v>
      </c>
    </row>
    <row r="1578" spans="1:4" x14ac:dyDescent="0.3">
      <c r="A1578" t="s">
        <v>3037</v>
      </c>
      <c r="B1578" t="s">
        <v>3038</v>
      </c>
      <c r="C1578" t="s">
        <v>3120</v>
      </c>
      <c r="D1578" t="s">
        <v>3121</v>
      </c>
    </row>
    <row r="1579" spans="1:4" x14ac:dyDescent="0.3">
      <c r="A1579" t="s">
        <v>3037</v>
      </c>
      <c r="B1579" t="s">
        <v>3038</v>
      </c>
      <c r="C1579" t="s">
        <v>3122</v>
      </c>
      <c r="D1579" t="s">
        <v>3123</v>
      </c>
    </row>
    <row r="1580" spans="1:4" x14ac:dyDescent="0.3">
      <c r="A1580" t="s">
        <v>3037</v>
      </c>
      <c r="B1580" t="s">
        <v>3038</v>
      </c>
      <c r="C1580" t="s">
        <v>3124</v>
      </c>
      <c r="D1580" t="s">
        <v>3125</v>
      </c>
    </row>
    <row r="1581" spans="1:4" x14ac:dyDescent="0.3">
      <c r="A1581" t="s">
        <v>3037</v>
      </c>
      <c r="B1581" t="s">
        <v>3038</v>
      </c>
      <c r="C1581" t="s">
        <v>3126</v>
      </c>
      <c r="D1581" t="s">
        <v>3127</v>
      </c>
    </row>
    <row r="1582" spans="1:4" x14ac:dyDescent="0.3">
      <c r="A1582" t="s">
        <v>3037</v>
      </c>
      <c r="B1582" t="s">
        <v>3038</v>
      </c>
      <c r="C1582" t="s">
        <v>4180</v>
      </c>
      <c r="D1582" t="s">
        <v>4181</v>
      </c>
    </row>
    <row r="1583" spans="1:4" x14ac:dyDescent="0.3">
      <c r="A1583" t="s">
        <v>3037</v>
      </c>
      <c r="B1583" t="s">
        <v>3038</v>
      </c>
      <c r="C1583" t="s">
        <v>3128</v>
      </c>
      <c r="D1583" t="s">
        <v>3129</v>
      </c>
    </row>
    <row r="1584" spans="1:4" x14ac:dyDescent="0.3">
      <c r="A1584" t="s">
        <v>3037</v>
      </c>
      <c r="B1584" t="s">
        <v>3038</v>
      </c>
      <c r="C1584" t="s">
        <v>4293</v>
      </c>
      <c r="D1584" t="s">
        <v>4294</v>
      </c>
    </row>
    <row r="1585" spans="1:4" x14ac:dyDescent="0.3">
      <c r="A1585" t="s">
        <v>3037</v>
      </c>
      <c r="B1585" t="s">
        <v>3038</v>
      </c>
      <c r="C1585" t="s">
        <v>3130</v>
      </c>
      <c r="D1585" t="s">
        <v>965</v>
      </c>
    </row>
    <row r="1586" spans="1:4" x14ac:dyDescent="0.3">
      <c r="A1586" t="s">
        <v>3037</v>
      </c>
      <c r="B1586" t="s">
        <v>3038</v>
      </c>
      <c r="C1586" t="s">
        <v>3131</v>
      </c>
      <c r="D1586" t="s">
        <v>3132</v>
      </c>
    </row>
    <row r="1587" spans="1:4" x14ac:dyDescent="0.3">
      <c r="A1587" t="s">
        <v>3037</v>
      </c>
      <c r="B1587" t="s">
        <v>3038</v>
      </c>
      <c r="C1587" t="s">
        <v>3133</v>
      </c>
      <c r="D1587" t="s">
        <v>3134</v>
      </c>
    </row>
    <row r="1588" spans="1:4" x14ac:dyDescent="0.3">
      <c r="A1588" t="s">
        <v>3037</v>
      </c>
      <c r="B1588" t="s">
        <v>3038</v>
      </c>
      <c r="C1588" t="s">
        <v>3135</v>
      </c>
      <c r="D1588" t="s">
        <v>3136</v>
      </c>
    </row>
    <row r="1589" spans="1:4" x14ac:dyDescent="0.3">
      <c r="A1589" t="s">
        <v>3037</v>
      </c>
      <c r="B1589" t="s">
        <v>3038</v>
      </c>
      <c r="C1589" t="s">
        <v>3137</v>
      </c>
      <c r="D1589" t="s">
        <v>3138</v>
      </c>
    </row>
    <row r="1590" spans="1:4" x14ac:dyDescent="0.3">
      <c r="A1590" t="s">
        <v>3139</v>
      </c>
      <c r="B1590" t="s">
        <v>3140</v>
      </c>
      <c r="C1590" t="s">
        <v>3141</v>
      </c>
      <c r="D1590" t="s">
        <v>3142</v>
      </c>
    </row>
    <row r="1591" spans="1:4" x14ac:dyDescent="0.3">
      <c r="A1591" t="s">
        <v>3139</v>
      </c>
      <c r="B1591" t="s">
        <v>3140</v>
      </c>
      <c r="C1591" t="s">
        <v>3143</v>
      </c>
      <c r="D1591" t="s">
        <v>3144</v>
      </c>
    </row>
    <row r="1592" spans="1:4" x14ac:dyDescent="0.3">
      <c r="A1592" t="s">
        <v>3139</v>
      </c>
      <c r="B1592" t="s">
        <v>3140</v>
      </c>
      <c r="C1592" t="s">
        <v>3145</v>
      </c>
      <c r="D1592" t="s">
        <v>3146</v>
      </c>
    </row>
    <row r="1593" spans="1:4" x14ac:dyDescent="0.3">
      <c r="A1593" t="s">
        <v>3139</v>
      </c>
      <c r="B1593" t="s">
        <v>3140</v>
      </c>
      <c r="C1593" t="s">
        <v>3147</v>
      </c>
      <c r="D1593" t="s">
        <v>3148</v>
      </c>
    </row>
    <row r="1594" spans="1:4" x14ac:dyDescent="0.3">
      <c r="A1594" t="s">
        <v>3139</v>
      </c>
      <c r="B1594" t="s">
        <v>3140</v>
      </c>
      <c r="C1594" t="s">
        <v>3149</v>
      </c>
      <c r="D1594" t="s">
        <v>3150</v>
      </c>
    </row>
    <row r="1595" spans="1:4" x14ac:dyDescent="0.3">
      <c r="A1595" t="s">
        <v>3139</v>
      </c>
      <c r="B1595" t="s">
        <v>3140</v>
      </c>
      <c r="C1595" t="s">
        <v>3151</v>
      </c>
      <c r="D1595" t="s">
        <v>3152</v>
      </c>
    </row>
    <row r="1596" spans="1:4" x14ac:dyDescent="0.3">
      <c r="A1596" t="s">
        <v>3139</v>
      </c>
      <c r="B1596" t="s">
        <v>3140</v>
      </c>
      <c r="C1596" t="s">
        <v>3153</v>
      </c>
      <c r="D1596" t="s">
        <v>3154</v>
      </c>
    </row>
    <row r="1597" spans="1:4" x14ac:dyDescent="0.3">
      <c r="A1597" t="s">
        <v>3139</v>
      </c>
      <c r="B1597" t="s">
        <v>3140</v>
      </c>
      <c r="C1597" t="s">
        <v>3155</v>
      </c>
      <c r="D1597" t="s">
        <v>3156</v>
      </c>
    </row>
    <row r="1598" spans="1:4" x14ac:dyDescent="0.3">
      <c r="A1598" t="s">
        <v>3139</v>
      </c>
      <c r="B1598" t="s">
        <v>3140</v>
      </c>
      <c r="C1598" t="s">
        <v>3157</v>
      </c>
      <c r="D1598" t="s">
        <v>3158</v>
      </c>
    </row>
    <row r="1599" spans="1:4" x14ac:dyDescent="0.3">
      <c r="A1599" t="s">
        <v>3139</v>
      </c>
      <c r="B1599" t="s">
        <v>3140</v>
      </c>
      <c r="C1599" t="s">
        <v>3159</v>
      </c>
      <c r="D1599" t="s">
        <v>3160</v>
      </c>
    </row>
    <row r="1600" spans="1:4" x14ac:dyDescent="0.3">
      <c r="A1600" t="s">
        <v>3139</v>
      </c>
      <c r="B1600" t="s">
        <v>3140</v>
      </c>
      <c r="C1600" t="s">
        <v>3161</v>
      </c>
      <c r="D1600" t="s">
        <v>3162</v>
      </c>
    </row>
    <row r="1601" spans="1:4" x14ac:dyDescent="0.3">
      <c r="A1601" t="s">
        <v>3139</v>
      </c>
      <c r="B1601" t="s">
        <v>3140</v>
      </c>
      <c r="C1601" t="s">
        <v>3163</v>
      </c>
      <c r="D1601" t="s">
        <v>3164</v>
      </c>
    </row>
    <row r="1602" spans="1:4" x14ac:dyDescent="0.3">
      <c r="A1602" t="s">
        <v>3139</v>
      </c>
      <c r="B1602" t="s">
        <v>3140</v>
      </c>
      <c r="C1602" t="s">
        <v>3165</v>
      </c>
      <c r="D1602" t="s">
        <v>3166</v>
      </c>
    </row>
    <row r="1603" spans="1:4" x14ac:dyDescent="0.3">
      <c r="A1603" t="s">
        <v>3139</v>
      </c>
      <c r="B1603" t="s">
        <v>3140</v>
      </c>
      <c r="C1603" t="s">
        <v>3167</v>
      </c>
      <c r="D1603" t="s">
        <v>3168</v>
      </c>
    </row>
    <row r="1604" spans="1:4" x14ac:dyDescent="0.3">
      <c r="A1604" t="s">
        <v>3139</v>
      </c>
      <c r="B1604" t="s">
        <v>3140</v>
      </c>
      <c r="C1604" t="s">
        <v>3169</v>
      </c>
      <c r="D1604" t="s">
        <v>3170</v>
      </c>
    </row>
    <row r="1605" spans="1:4" x14ac:dyDescent="0.3">
      <c r="A1605" t="s">
        <v>3139</v>
      </c>
      <c r="B1605" t="s">
        <v>3140</v>
      </c>
      <c r="C1605" t="s">
        <v>3171</v>
      </c>
      <c r="D1605" t="s">
        <v>3172</v>
      </c>
    </row>
    <row r="1606" spans="1:4" x14ac:dyDescent="0.3">
      <c r="A1606" t="s">
        <v>3139</v>
      </c>
      <c r="B1606" t="s">
        <v>3140</v>
      </c>
      <c r="C1606" t="s">
        <v>3173</v>
      </c>
      <c r="D1606" t="s">
        <v>3174</v>
      </c>
    </row>
    <row r="1607" spans="1:4" x14ac:dyDescent="0.3">
      <c r="A1607" t="s">
        <v>3139</v>
      </c>
      <c r="B1607" t="s">
        <v>3140</v>
      </c>
      <c r="C1607" t="s">
        <v>3175</v>
      </c>
      <c r="D1607" t="s">
        <v>3176</v>
      </c>
    </row>
    <row r="1608" spans="1:4" x14ac:dyDescent="0.3">
      <c r="A1608" t="s">
        <v>3139</v>
      </c>
      <c r="B1608" t="s">
        <v>3140</v>
      </c>
      <c r="C1608" t="s">
        <v>3177</v>
      </c>
      <c r="D1608" t="s">
        <v>3178</v>
      </c>
    </row>
    <row r="1609" spans="1:4" x14ac:dyDescent="0.3">
      <c r="A1609" t="s">
        <v>3139</v>
      </c>
      <c r="B1609" t="s">
        <v>3140</v>
      </c>
      <c r="C1609" t="s">
        <v>3179</v>
      </c>
      <c r="D1609" t="s">
        <v>3180</v>
      </c>
    </row>
    <row r="1610" spans="1:4" x14ac:dyDescent="0.3">
      <c r="A1610" t="s">
        <v>3139</v>
      </c>
      <c r="B1610" t="s">
        <v>3140</v>
      </c>
      <c r="C1610" t="s">
        <v>3181</v>
      </c>
      <c r="D1610" t="s">
        <v>3182</v>
      </c>
    </row>
    <row r="1611" spans="1:4" x14ac:dyDescent="0.3">
      <c r="A1611" t="s">
        <v>3139</v>
      </c>
      <c r="B1611" t="s">
        <v>3140</v>
      </c>
      <c r="C1611" t="s">
        <v>3184</v>
      </c>
      <c r="D1611" t="s">
        <v>3185</v>
      </c>
    </row>
    <row r="1612" spans="1:4" x14ac:dyDescent="0.3">
      <c r="A1612" t="s">
        <v>3139</v>
      </c>
      <c r="B1612" t="s">
        <v>3140</v>
      </c>
      <c r="C1612" t="s">
        <v>3186</v>
      </c>
      <c r="D1612" t="s">
        <v>3187</v>
      </c>
    </row>
    <row r="1613" spans="1:4" x14ac:dyDescent="0.3">
      <c r="A1613" t="s">
        <v>3139</v>
      </c>
      <c r="B1613" t="s">
        <v>3140</v>
      </c>
      <c r="C1613" t="s">
        <v>3183</v>
      </c>
      <c r="D1613" t="s">
        <v>2174</v>
      </c>
    </row>
    <row r="1614" spans="1:4" x14ac:dyDescent="0.3">
      <c r="A1614" t="s">
        <v>3139</v>
      </c>
      <c r="B1614" t="s">
        <v>3140</v>
      </c>
      <c r="C1614" t="s">
        <v>3188</v>
      </c>
      <c r="D1614" t="s">
        <v>3189</v>
      </c>
    </row>
    <row r="1615" spans="1:4" x14ac:dyDescent="0.3">
      <c r="A1615" t="s">
        <v>3190</v>
      </c>
      <c r="B1615" t="s">
        <v>3191</v>
      </c>
      <c r="C1615" t="s">
        <v>3192</v>
      </c>
      <c r="D1615" t="s">
        <v>3193</v>
      </c>
    </row>
    <row r="1616" spans="1:4" x14ac:dyDescent="0.3">
      <c r="A1616" t="s">
        <v>3190</v>
      </c>
      <c r="B1616" t="s">
        <v>3191</v>
      </c>
      <c r="C1616" t="s">
        <v>3194</v>
      </c>
      <c r="D1616" t="s">
        <v>3195</v>
      </c>
    </row>
    <row r="1617" spans="1:4" x14ac:dyDescent="0.3">
      <c r="A1617" t="s">
        <v>3190</v>
      </c>
      <c r="B1617" t="s">
        <v>3191</v>
      </c>
      <c r="C1617" t="s">
        <v>2593</v>
      </c>
      <c r="D1617" t="s">
        <v>3196</v>
      </c>
    </row>
    <row r="1618" spans="1:4" x14ac:dyDescent="0.3">
      <c r="A1618" t="s">
        <v>3190</v>
      </c>
      <c r="B1618" t="s">
        <v>3191</v>
      </c>
      <c r="C1618" t="s">
        <v>3197</v>
      </c>
      <c r="D1618" t="s">
        <v>3198</v>
      </c>
    </row>
    <row r="1619" spans="1:4" x14ac:dyDescent="0.3">
      <c r="A1619" t="s">
        <v>3190</v>
      </c>
      <c r="B1619" t="s">
        <v>3191</v>
      </c>
      <c r="C1619" t="s">
        <v>3199</v>
      </c>
      <c r="D1619" t="s">
        <v>3200</v>
      </c>
    </row>
    <row r="1620" spans="1:4" x14ac:dyDescent="0.3">
      <c r="A1620" t="s">
        <v>3190</v>
      </c>
      <c r="B1620" t="s">
        <v>3191</v>
      </c>
      <c r="C1620" t="s">
        <v>3201</v>
      </c>
      <c r="D1620" t="s">
        <v>3202</v>
      </c>
    </row>
    <row r="1621" spans="1:4" x14ac:dyDescent="0.3">
      <c r="A1621" t="s">
        <v>3190</v>
      </c>
      <c r="B1621" t="s">
        <v>3191</v>
      </c>
      <c r="C1621" t="s">
        <v>3203</v>
      </c>
      <c r="D1621" t="s">
        <v>3204</v>
      </c>
    </row>
    <row r="1622" spans="1:4" x14ac:dyDescent="0.3">
      <c r="A1622" t="s">
        <v>3190</v>
      </c>
      <c r="B1622" t="s">
        <v>3191</v>
      </c>
      <c r="C1622" t="s">
        <v>3205</v>
      </c>
      <c r="D1622" t="s">
        <v>3206</v>
      </c>
    </row>
    <row r="1623" spans="1:4" x14ac:dyDescent="0.3">
      <c r="A1623" t="s">
        <v>3190</v>
      </c>
      <c r="B1623" t="s">
        <v>3191</v>
      </c>
      <c r="C1623" t="s">
        <v>3207</v>
      </c>
      <c r="D1623" t="s">
        <v>3208</v>
      </c>
    </row>
    <row r="1624" spans="1:4" x14ac:dyDescent="0.3">
      <c r="A1624" t="s">
        <v>3190</v>
      </c>
      <c r="B1624" t="s">
        <v>3191</v>
      </c>
      <c r="C1624" t="s">
        <v>3213</v>
      </c>
      <c r="D1624" t="s">
        <v>4295</v>
      </c>
    </row>
    <row r="1625" spans="1:4" x14ac:dyDescent="0.3">
      <c r="A1625" t="s">
        <v>3190</v>
      </c>
      <c r="B1625" t="s">
        <v>3191</v>
      </c>
      <c r="C1625" t="s">
        <v>3209</v>
      </c>
      <c r="D1625" t="s">
        <v>3210</v>
      </c>
    </row>
    <row r="1626" spans="1:4" x14ac:dyDescent="0.3">
      <c r="A1626" t="s">
        <v>3190</v>
      </c>
      <c r="B1626" t="s">
        <v>3191</v>
      </c>
      <c r="C1626" t="s">
        <v>3211</v>
      </c>
      <c r="D1626" t="s">
        <v>3212</v>
      </c>
    </row>
    <row r="1627" spans="1:4" x14ac:dyDescent="0.3">
      <c r="A1627" t="s">
        <v>3190</v>
      </c>
      <c r="B1627" t="s">
        <v>3191</v>
      </c>
      <c r="C1627" t="s">
        <v>3214</v>
      </c>
      <c r="D1627" t="s">
        <v>4296</v>
      </c>
    </row>
    <row r="1628" spans="1:4" x14ac:dyDescent="0.3">
      <c r="A1628" t="s">
        <v>3190</v>
      </c>
      <c r="B1628" t="s">
        <v>3191</v>
      </c>
      <c r="C1628" t="s">
        <v>3215</v>
      </c>
      <c r="D1628" t="s">
        <v>3216</v>
      </c>
    </row>
    <row r="1629" spans="1:4" x14ac:dyDescent="0.3">
      <c r="A1629" t="s">
        <v>3190</v>
      </c>
      <c r="B1629" t="s">
        <v>3191</v>
      </c>
      <c r="C1629" t="s">
        <v>3217</v>
      </c>
      <c r="D1629" t="s">
        <v>3218</v>
      </c>
    </row>
    <row r="1630" spans="1:4" x14ac:dyDescent="0.3">
      <c r="A1630" t="s">
        <v>3190</v>
      </c>
      <c r="B1630" t="s">
        <v>3191</v>
      </c>
      <c r="C1630" t="s">
        <v>3219</v>
      </c>
      <c r="D1630" t="s">
        <v>3220</v>
      </c>
    </row>
    <row r="1631" spans="1:4" x14ac:dyDescent="0.3">
      <c r="A1631" t="s">
        <v>3190</v>
      </c>
      <c r="B1631" t="s">
        <v>3191</v>
      </c>
      <c r="C1631" t="s">
        <v>3221</v>
      </c>
      <c r="D1631" t="s">
        <v>3222</v>
      </c>
    </row>
    <row r="1632" spans="1:4" x14ac:dyDescent="0.3">
      <c r="A1632" t="s">
        <v>3190</v>
      </c>
      <c r="B1632" t="s">
        <v>3191</v>
      </c>
      <c r="C1632" t="s">
        <v>3223</v>
      </c>
      <c r="D1632" t="s">
        <v>3224</v>
      </c>
    </row>
    <row r="1633" spans="1:4" x14ac:dyDescent="0.3">
      <c r="A1633" t="s">
        <v>3190</v>
      </c>
      <c r="B1633" t="s">
        <v>3191</v>
      </c>
      <c r="C1633" t="s">
        <v>3225</v>
      </c>
      <c r="D1633" t="s">
        <v>3226</v>
      </c>
    </row>
    <row r="1634" spans="1:4" x14ac:dyDescent="0.3">
      <c r="A1634" t="s">
        <v>3227</v>
      </c>
      <c r="B1634" t="s">
        <v>3228</v>
      </c>
      <c r="C1634" t="s">
        <v>3229</v>
      </c>
      <c r="D1634" t="s">
        <v>3230</v>
      </c>
    </row>
    <row r="1635" spans="1:4" x14ac:dyDescent="0.3">
      <c r="A1635" t="s">
        <v>3227</v>
      </c>
      <c r="B1635" t="s">
        <v>3228</v>
      </c>
      <c r="C1635" t="s">
        <v>3231</v>
      </c>
      <c r="D1635" t="s">
        <v>3232</v>
      </c>
    </row>
    <row r="1636" spans="1:4" x14ac:dyDescent="0.3">
      <c r="A1636" t="s">
        <v>3227</v>
      </c>
      <c r="B1636" t="s">
        <v>3228</v>
      </c>
      <c r="C1636" t="s">
        <v>3233</v>
      </c>
      <c r="D1636" t="s">
        <v>3234</v>
      </c>
    </row>
    <row r="1637" spans="1:4" x14ac:dyDescent="0.3">
      <c r="A1637" t="s">
        <v>3227</v>
      </c>
      <c r="B1637" t="s">
        <v>3228</v>
      </c>
      <c r="C1637" t="s">
        <v>3235</v>
      </c>
      <c r="D1637" t="s">
        <v>3236</v>
      </c>
    </row>
    <row r="1638" spans="1:4" x14ac:dyDescent="0.3">
      <c r="A1638" t="s">
        <v>3227</v>
      </c>
      <c r="B1638" t="s">
        <v>3228</v>
      </c>
      <c r="C1638" t="s">
        <v>3237</v>
      </c>
      <c r="D1638" t="s">
        <v>3238</v>
      </c>
    </row>
    <row r="1639" spans="1:4" x14ac:dyDescent="0.3">
      <c r="A1639" t="s">
        <v>3227</v>
      </c>
      <c r="B1639" t="s">
        <v>3228</v>
      </c>
      <c r="C1639" t="s">
        <v>3239</v>
      </c>
      <c r="D1639" t="s">
        <v>3240</v>
      </c>
    </row>
    <row r="1640" spans="1:4" x14ac:dyDescent="0.3">
      <c r="A1640" t="s">
        <v>3227</v>
      </c>
      <c r="B1640" t="s">
        <v>3228</v>
      </c>
      <c r="C1640" t="s">
        <v>3241</v>
      </c>
      <c r="D1640" t="s">
        <v>3242</v>
      </c>
    </row>
    <row r="1641" spans="1:4" x14ac:dyDescent="0.3">
      <c r="A1641" t="s">
        <v>3227</v>
      </c>
      <c r="B1641" t="s">
        <v>3228</v>
      </c>
      <c r="C1641" t="s">
        <v>3243</v>
      </c>
      <c r="D1641" t="s">
        <v>3244</v>
      </c>
    </row>
    <row r="1642" spans="1:4" x14ac:dyDescent="0.3">
      <c r="A1642" t="s">
        <v>3227</v>
      </c>
      <c r="B1642" t="s">
        <v>3228</v>
      </c>
      <c r="C1642" t="s">
        <v>3245</v>
      </c>
      <c r="D1642" t="s">
        <v>3246</v>
      </c>
    </row>
    <row r="1643" spans="1:4" x14ac:dyDescent="0.3">
      <c r="A1643" t="s">
        <v>3227</v>
      </c>
      <c r="B1643" t="s">
        <v>3228</v>
      </c>
      <c r="C1643" t="s">
        <v>3247</v>
      </c>
      <c r="D1643" t="s">
        <v>3248</v>
      </c>
    </row>
    <row r="1644" spans="1:4" x14ac:dyDescent="0.3">
      <c r="A1644" t="s">
        <v>3227</v>
      </c>
      <c r="B1644" t="s">
        <v>3228</v>
      </c>
      <c r="C1644" t="s">
        <v>3249</v>
      </c>
      <c r="D1644" t="s">
        <v>3250</v>
      </c>
    </row>
    <row r="1645" spans="1:4" x14ac:dyDescent="0.3">
      <c r="A1645" t="s">
        <v>3227</v>
      </c>
      <c r="B1645" t="s">
        <v>3228</v>
      </c>
      <c r="C1645" t="s">
        <v>3251</v>
      </c>
      <c r="D1645" t="s">
        <v>3252</v>
      </c>
    </row>
    <row r="1646" spans="1:4" x14ac:dyDescent="0.3">
      <c r="A1646" t="s">
        <v>3227</v>
      </c>
      <c r="B1646" t="s">
        <v>3228</v>
      </c>
      <c r="C1646" t="s">
        <v>3253</v>
      </c>
      <c r="D1646" t="s">
        <v>3254</v>
      </c>
    </row>
    <row r="1647" spans="1:4" x14ac:dyDescent="0.3">
      <c r="A1647" t="s">
        <v>3227</v>
      </c>
      <c r="B1647" t="s">
        <v>3228</v>
      </c>
      <c r="C1647" t="s">
        <v>3255</v>
      </c>
      <c r="D1647" t="s">
        <v>3256</v>
      </c>
    </row>
    <row r="1648" spans="1:4" x14ac:dyDescent="0.3">
      <c r="A1648" t="s">
        <v>3227</v>
      </c>
      <c r="B1648" t="s">
        <v>3228</v>
      </c>
      <c r="C1648" t="s">
        <v>3257</v>
      </c>
      <c r="D1648" t="s">
        <v>3258</v>
      </c>
    </row>
    <row r="1649" spans="1:4" x14ac:dyDescent="0.3">
      <c r="A1649" t="s">
        <v>3227</v>
      </c>
      <c r="B1649" t="s">
        <v>3228</v>
      </c>
      <c r="C1649" t="s">
        <v>3259</v>
      </c>
      <c r="D1649" t="s">
        <v>3260</v>
      </c>
    </row>
    <row r="1650" spans="1:4" x14ac:dyDescent="0.3">
      <c r="A1650" t="s">
        <v>3227</v>
      </c>
      <c r="B1650" t="s">
        <v>3228</v>
      </c>
      <c r="C1650" t="s">
        <v>3261</v>
      </c>
      <c r="D1650" t="s">
        <v>3262</v>
      </c>
    </row>
    <row r="1651" spans="1:4" x14ac:dyDescent="0.3">
      <c r="A1651" t="s">
        <v>3227</v>
      </c>
      <c r="B1651" t="s">
        <v>3228</v>
      </c>
      <c r="C1651" t="s">
        <v>3263</v>
      </c>
      <c r="D1651" t="s">
        <v>3264</v>
      </c>
    </row>
    <row r="1652" spans="1:4" x14ac:dyDescent="0.3">
      <c r="A1652" t="s">
        <v>3227</v>
      </c>
      <c r="B1652" t="s">
        <v>3228</v>
      </c>
      <c r="C1652" t="s">
        <v>3265</v>
      </c>
      <c r="D1652" t="s">
        <v>3266</v>
      </c>
    </row>
    <row r="1653" spans="1:4" x14ac:dyDescent="0.3">
      <c r="A1653" t="s">
        <v>3227</v>
      </c>
      <c r="B1653" t="s">
        <v>3228</v>
      </c>
      <c r="C1653" t="s">
        <v>3267</v>
      </c>
      <c r="D1653" t="s">
        <v>3268</v>
      </c>
    </row>
    <row r="1654" spans="1:4" x14ac:dyDescent="0.3">
      <c r="A1654" t="s">
        <v>3227</v>
      </c>
      <c r="B1654" t="s">
        <v>3228</v>
      </c>
      <c r="C1654" t="s">
        <v>3269</v>
      </c>
      <c r="D1654" t="s">
        <v>3270</v>
      </c>
    </row>
    <row r="1655" spans="1:4" x14ac:dyDescent="0.3">
      <c r="A1655" t="s">
        <v>3227</v>
      </c>
      <c r="B1655" t="s">
        <v>3228</v>
      </c>
      <c r="C1655" t="s">
        <v>3271</v>
      </c>
      <c r="D1655" t="s">
        <v>3272</v>
      </c>
    </row>
    <row r="1656" spans="1:4" x14ac:dyDescent="0.3">
      <c r="A1656" t="s">
        <v>3227</v>
      </c>
      <c r="B1656" t="s">
        <v>3228</v>
      </c>
      <c r="C1656" t="s">
        <v>3273</v>
      </c>
      <c r="D1656" t="s">
        <v>3274</v>
      </c>
    </row>
    <row r="1657" spans="1:4" x14ac:dyDescent="0.3">
      <c r="A1657" t="s">
        <v>3227</v>
      </c>
      <c r="B1657" t="s">
        <v>3228</v>
      </c>
      <c r="C1657" t="s">
        <v>2755</v>
      </c>
      <c r="D1657" t="s">
        <v>3275</v>
      </c>
    </row>
    <row r="1658" spans="1:4" x14ac:dyDescent="0.3">
      <c r="A1658" t="s">
        <v>3227</v>
      </c>
      <c r="B1658" t="s">
        <v>3228</v>
      </c>
      <c r="C1658" t="s">
        <v>3276</v>
      </c>
      <c r="D1658" t="s">
        <v>3277</v>
      </c>
    </row>
    <row r="1659" spans="1:4" x14ac:dyDescent="0.3">
      <c r="A1659" t="s">
        <v>3227</v>
      </c>
      <c r="B1659" t="s">
        <v>3228</v>
      </c>
      <c r="C1659" t="s">
        <v>3278</v>
      </c>
      <c r="D1659" t="s">
        <v>3279</v>
      </c>
    </row>
    <row r="1660" spans="1:4" x14ac:dyDescent="0.3">
      <c r="A1660" t="s">
        <v>3227</v>
      </c>
      <c r="B1660" t="s">
        <v>3228</v>
      </c>
      <c r="C1660" t="s">
        <v>3280</v>
      </c>
      <c r="D1660" t="s">
        <v>3281</v>
      </c>
    </row>
    <row r="1661" spans="1:4" x14ac:dyDescent="0.3">
      <c r="A1661" t="s">
        <v>3227</v>
      </c>
      <c r="B1661" t="s">
        <v>3228</v>
      </c>
      <c r="C1661" t="s">
        <v>3282</v>
      </c>
      <c r="D1661" t="s">
        <v>3283</v>
      </c>
    </row>
    <row r="1662" spans="1:4" x14ac:dyDescent="0.3">
      <c r="A1662" t="s">
        <v>3227</v>
      </c>
      <c r="B1662" t="s">
        <v>3228</v>
      </c>
      <c r="C1662" t="s">
        <v>3284</v>
      </c>
      <c r="D1662" t="s">
        <v>3285</v>
      </c>
    </row>
    <row r="1663" spans="1:4" x14ac:dyDescent="0.3">
      <c r="A1663" t="s">
        <v>3227</v>
      </c>
      <c r="B1663" t="s">
        <v>3228</v>
      </c>
      <c r="C1663" t="s">
        <v>2934</v>
      </c>
      <c r="D1663" t="s">
        <v>3286</v>
      </c>
    </row>
    <row r="1664" spans="1:4" x14ac:dyDescent="0.3">
      <c r="A1664" t="s">
        <v>3227</v>
      </c>
      <c r="B1664" t="s">
        <v>3228</v>
      </c>
      <c r="C1664" t="s">
        <v>3287</v>
      </c>
      <c r="D1664" t="s">
        <v>3288</v>
      </c>
    </row>
    <row r="1665" spans="1:4" x14ac:dyDescent="0.3">
      <c r="A1665" t="s">
        <v>3227</v>
      </c>
      <c r="B1665" t="s">
        <v>3228</v>
      </c>
      <c r="C1665" t="s">
        <v>3289</v>
      </c>
      <c r="D1665" t="s">
        <v>3290</v>
      </c>
    </row>
    <row r="1666" spans="1:4" x14ac:dyDescent="0.3">
      <c r="A1666" t="s">
        <v>3227</v>
      </c>
      <c r="B1666" t="s">
        <v>3228</v>
      </c>
      <c r="C1666" t="s">
        <v>3291</v>
      </c>
      <c r="D1666" t="s">
        <v>3292</v>
      </c>
    </row>
    <row r="1667" spans="1:4" x14ac:dyDescent="0.3">
      <c r="A1667" t="s">
        <v>3227</v>
      </c>
      <c r="B1667" t="s">
        <v>3228</v>
      </c>
      <c r="C1667" t="s">
        <v>3293</v>
      </c>
      <c r="D1667" t="s">
        <v>3294</v>
      </c>
    </row>
    <row r="1668" spans="1:4" x14ac:dyDescent="0.3">
      <c r="A1668" t="s">
        <v>3227</v>
      </c>
      <c r="B1668" t="s">
        <v>3228</v>
      </c>
      <c r="C1668" t="s">
        <v>3295</v>
      </c>
      <c r="D1668" t="s">
        <v>3296</v>
      </c>
    </row>
    <row r="1669" spans="1:4" x14ac:dyDescent="0.3">
      <c r="A1669" t="s">
        <v>3297</v>
      </c>
      <c r="B1669" t="s">
        <v>3298</v>
      </c>
      <c r="C1669" t="s">
        <v>3299</v>
      </c>
      <c r="D1669" t="s">
        <v>3300</v>
      </c>
    </row>
    <row r="1670" spans="1:4" x14ac:dyDescent="0.3">
      <c r="A1670" t="s">
        <v>3297</v>
      </c>
      <c r="B1670" t="s">
        <v>3298</v>
      </c>
      <c r="C1670" t="s">
        <v>3301</v>
      </c>
      <c r="D1670" t="s">
        <v>3302</v>
      </c>
    </row>
    <row r="1671" spans="1:4" x14ac:dyDescent="0.3">
      <c r="A1671" t="s">
        <v>3297</v>
      </c>
      <c r="B1671" t="s">
        <v>3298</v>
      </c>
      <c r="C1671" t="s">
        <v>3303</v>
      </c>
      <c r="D1671" t="s">
        <v>3304</v>
      </c>
    </row>
    <row r="1672" spans="1:4" x14ac:dyDescent="0.3">
      <c r="A1672" t="s">
        <v>3297</v>
      </c>
      <c r="B1672" t="s">
        <v>3298</v>
      </c>
      <c r="C1672" t="s">
        <v>3305</v>
      </c>
      <c r="D1672" t="s">
        <v>3306</v>
      </c>
    </row>
    <row r="1673" spans="1:4" x14ac:dyDescent="0.3">
      <c r="A1673" t="s">
        <v>3297</v>
      </c>
      <c r="B1673" t="s">
        <v>3298</v>
      </c>
      <c r="C1673" t="s">
        <v>3307</v>
      </c>
      <c r="D1673" t="s">
        <v>3308</v>
      </c>
    </row>
    <row r="1674" spans="1:4" x14ac:dyDescent="0.3">
      <c r="A1674" t="s">
        <v>3297</v>
      </c>
      <c r="B1674" t="s">
        <v>3298</v>
      </c>
      <c r="C1674" t="s">
        <v>3139</v>
      </c>
      <c r="D1674" t="s">
        <v>3309</v>
      </c>
    </row>
    <row r="1675" spans="1:4" x14ac:dyDescent="0.3">
      <c r="A1675" t="s">
        <v>3297</v>
      </c>
      <c r="B1675" t="s">
        <v>3298</v>
      </c>
      <c r="C1675" t="s">
        <v>3310</v>
      </c>
      <c r="D1675" t="s">
        <v>3311</v>
      </c>
    </row>
    <row r="1676" spans="1:4" x14ac:dyDescent="0.3">
      <c r="A1676" t="s">
        <v>3297</v>
      </c>
      <c r="B1676" t="s">
        <v>3298</v>
      </c>
      <c r="C1676" t="s">
        <v>3312</v>
      </c>
      <c r="D1676" t="s">
        <v>3313</v>
      </c>
    </row>
    <row r="1677" spans="1:4" x14ac:dyDescent="0.3">
      <c r="A1677" t="s">
        <v>3297</v>
      </c>
      <c r="B1677" t="s">
        <v>3298</v>
      </c>
      <c r="C1677" t="s">
        <v>3314</v>
      </c>
      <c r="D1677" t="s">
        <v>3315</v>
      </c>
    </row>
    <row r="1678" spans="1:4" x14ac:dyDescent="0.3">
      <c r="A1678" t="s">
        <v>3297</v>
      </c>
      <c r="B1678" t="s">
        <v>3298</v>
      </c>
      <c r="C1678" t="s">
        <v>3316</v>
      </c>
      <c r="D1678" t="s">
        <v>3317</v>
      </c>
    </row>
    <row r="1679" spans="1:4" x14ac:dyDescent="0.3">
      <c r="A1679" t="s">
        <v>3297</v>
      </c>
      <c r="B1679" t="s">
        <v>3298</v>
      </c>
      <c r="C1679" t="s">
        <v>3318</v>
      </c>
      <c r="D1679" t="s">
        <v>3319</v>
      </c>
    </row>
    <row r="1680" spans="1:4" x14ac:dyDescent="0.3">
      <c r="A1680" t="s">
        <v>3297</v>
      </c>
      <c r="B1680" t="s">
        <v>3298</v>
      </c>
      <c r="C1680" t="s">
        <v>3320</v>
      </c>
      <c r="D1680" t="s">
        <v>3321</v>
      </c>
    </row>
    <row r="1681" spans="1:4" x14ac:dyDescent="0.3">
      <c r="A1681" t="s">
        <v>3297</v>
      </c>
      <c r="B1681" t="s">
        <v>3298</v>
      </c>
      <c r="C1681" t="s">
        <v>3322</v>
      </c>
      <c r="D1681" t="s">
        <v>3323</v>
      </c>
    </row>
    <row r="1682" spans="1:4" x14ac:dyDescent="0.3">
      <c r="A1682" t="s">
        <v>3297</v>
      </c>
      <c r="B1682" t="s">
        <v>3298</v>
      </c>
      <c r="C1682" t="s">
        <v>3324</v>
      </c>
      <c r="D1682" t="s">
        <v>3325</v>
      </c>
    </row>
    <row r="1683" spans="1:4" x14ac:dyDescent="0.3">
      <c r="A1683" t="s">
        <v>3297</v>
      </c>
      <c r="B1683" t="s">
        <v>3298</v>
      </c>
      <c r="C1683" t="s">
        <v>3326</v>
      </c>
      <c r="D1683" t="s">
        <v>3327</v>
      </c>
    </row>
    <row r="1684" spans="1:4" x14ac:dyDescent="0.3">
      <c r="A1684" t="s">
        <v>3297</v>
      </c>
      <c r="B1684" t="s">
        <v>3298</v>
      </c>
      <c r="C1684" t="s">
        <v>3328</v>
      </c>
      <c r="D1684" t="s">
        <v>3329</v>
      </c>
    </row>
    <row r="1685" spans="1:4" x14ac:dyDescent="0.3">
      <c r="A1685" t="s">
        <v>3297</v>
      </c>
      <c r="B1685" t="s">
        <v>3298</v>
      </c>
      <c r="C1685" t="s">
        <v>3330</v>
      </c>
      <c r="D1685" t="s">
        <v>3331</v>
      </c>
    </row>
    <row r="1686" spans="1:4" x14ac:dyDescent="0.3">
      <c r="A1686" t="s">
        <v>3297</v>
      </c>
      <c r="B1686" t="s">
        <v>3298</v>
      </c>
      <c r="C1686" t="s">
        <v>3332</v>
      </c>
      <c r="D1686" t="s">
        <v>3333</v>
      </c>
    </row>
    <row r="1687" spans="1:4" x14ac:dyDescent="0.3">
      <c r="A1687" t="s">
        <v>3297</v>
      </c>
      <c r="B1687" t="s">
        <v>3298</v>
      </c>
      <c r="C1687" t="s">
        <v>3334</v>
      </c>
      <c r="D1687" t="s">
        <v>3335</v>
      </c>
    </row>
    <row r="1688" spans="1:4" x14ac:dyDescent="0.3">
      <c r="A1688" t="s">
        <v>3263</v>
      </c>
      <c r="B1688" t="s">
        <v>3336</v>
      </c>
      <c r="C1688" t="s">
        <v>3337</v>
      </c>
      <c r="D1688" t="s">
        <v>3338</v>
      </c>
    </row>
    <row r="1689" spans="1:4" x14ac:dyDescent="0.3">
      <c r="A1689" t="s">
        <v>3263</v>
      </c>
      <c r="B1689" t="s">
        <v>3336</v>
      </c>
      <c r="C1689" t="s">
        <v>4184</v>
      </c>
      <c r="D1689" t="s">
        <v>4185</v>
      </c>
    </row>
    <row r="1690" spans="1:4" x14ac:dyDescent="0.3">
      <c r="A1690" t="s">
        <v>3263</v>
      </c>
      <c r="B1690" t="s">
        <v>3336</v>
      </c>
      <c r="C1690" t="s">
        <v>3339</v>
      </c>
      <c r="D1690" t="s">
        <v>3340</v>
      </c>
    </row>
    <row r="1691" spans="1:4" x14ac:dyDescent="0.3">
      <c r="A1691" t="s">
        <v>3263</v>
      </c>
      <c r="B1691" t="s">
        <v>3336</v>
      </c>
      <c r="C1691" t="s">
        <v>3341</v>
      </c>
      <c r="D1691" t="s">
        <v>3342</v>
      </c>
    </row>
    <row r="1692" spans="1:4" x14ac:dyDescent="0.3">
      <c r="A1692" t="s">
        <v>3263</v>
      </c>
      <c r="B1692" t="s">
        <v>3336</v>
      </c>
      <c r="C1692" t="s">
        <v>3343</v>
      </c>
      <c r="D1692" t="s">
        <v>3344</v>
      </c>
    </row>
    <row r="1693" spans="1:4" x14ac:dyDescent="0.3">
      <c r="A1693" t="s">
        <v>3263</v>
      </c>
      <c r="B1693" t="s">
        <v>3336</v>
      </c>
      <c r="C1693" t="s">
        <v>3345</v>
      </c>
      <c r="D1693" t="s">
        <v>3346</v>
      </c>
    </row>
    <row r="1694" spans="1:4" x14ac:dyDescent="0.3">
      <c r="A1694" t="s">
        <v>3263</v>
      </c>
      <c r="B1694" t="s">
        <v>3336</v>
      </c>
      <c r="C1694" t="s">
        <v>3347</v>
      </c>
      <c r="D1694" t="s">
        <v>3348</v>
      </c>
    </row>
    <row r="1695" spans="1:4" x14ac:dyDescent="0.3">
      <c r="A1695" t="s">
        <v>3263</v>
      </c>
      <c r="B1695" t="s">
        <v>3336</v>
      </c>
      <c r="C1695" t="s">
        <v>3349</v>
      </c>
      <c r="D1695" t="s">
        <v>3350</v>
      </c>
    </row>
    <row r="1696" spans="1:4" x14ac:dyDescent="0.3">
      <c r="A1696" t="s">
        <v>3263</v>
      </c>
      <c r="B1696" t="s">
        <v>3336</v>
      </c>
      <c r="C1696" t="s">
        <v>3351</v>
      </c>
      <c r="D1696" t="s">
        <v>3352</v>
      </c>
    </row>
    <row r="1697" spans="1:4" x14ac:dyDescent="0.3">
      <c r="A1697" t="s">
        <v>3263</v>
      </c>
      <c r="B1697" t="s">
        <v>3336</v>
      </c>
      <c r="C1697" t="s">
        <v>3353</v>
      </c>
      <c r="D1697" t="s">
        <v>3354</v>
      </c>
    </row>
    <row r="1698" spans="1:4" x14ac:dyDescent="0.3">
      <c r="A1698" t="s">
        <v>3263</v>
      </c>
      <c r="B1698" t="s">
        <v>3336</v>
      </c>
      <c r="C1698" t="s">
        <v>4188</v>
      </c>
      <c r="D1698" t="s">
        <v>4189</v>
      </c>
    </row>
    <row r="1699" spans="1:4" x14ac:dyDescent="0.3">
      <c r="A1699" t="s">
        <v>3263</v>
      </c>
      <c r="B1699" t="s">
        <v>3336</v>
      </c>
      <c r="C1699" t="s">
        <v>4190</v>
      </c>
      <c r="D1699" t="s">
        <v>4191</v>
      </c>
    </row>
    <row r="1700" spans="1:4" x14ac:dyDescent="0.3">
      <c r="A1700" t="s">
        <v>3263</v>
      </c>
      <c r="B1700" t="s">
        <v>3336</v>
      </c>
      <c r="C1700" t="s">
        <v>3355</v>
      </c>
      <c r="D1700" t="s">
        <v>3356</v>
      </c>
    </row>
    <row r="1701" spans="1:4" x14ac:dyDescent="0.3">
      <c r="A1701" t="s">
        <v>3263</v>
      </c>
      <c r="B1701" t="s">
        <v>3336</v>
      </c>
      <c r="C1701" t="s">
        <v>3357</v>
      </c>
      <c r="D1701" t="s">
        <v>3358</v>
      </c>
    </row>
    <row r="1702" spans="1:4" x14ac:dyDescent="0.3">
      <c r="A1702" t="s">
        <v>3263</v>
      </c>
      <c r="B1702" t="s">
        <v>3336</v>
      </c>
      <c r="C1702" t="s">
        <v>3359</v>
      </c>
      <c r="D1702" t="s">
        <v>3360</v>
      </c>
    </row>
    <row r="1703" spans="1:4" x14ac:dyDescent="0.3">
      <c r="A1703" t="s">
        <v>3263</v>
      </c>
      <c r="B1703" t="s">
        <v>3336</v>
      </c>
      <c r="C1703" t="s">
        <v>3361</v>
      </c>
      <c r="D1703" t="s">
        <v>3362</v>
      </c>
    </row>
    <row r="1704" spans="1:4" x14ac:dyDescent="0.3">
      <c r="A1704" t="s">
        <v>3263</v>
      </c>
      <c r="B1704" t="s">
        <v>3336</v>
      </c>
      <c r="C1704" t="s">
        <v>3363</v>
      </c>
      <c r="D1704" t="s">
        <v>3364</v>
      </c>
    </row>
    <row r="1705" spans="1:4" x14ac:dyDescent="0.3">
      <c r="A1705" t="s">
        <v>3263</v>
      </c>
      <c r="B1705" t="s">
        <v>3336</v>
      </c>
      <c r="C1705" t="s">
        <v>3365</v>
      </c>
      <c r="D1705" t="s">
        <v>3366</v>
      </c>
    </row>
    <row r="1706" spans="1:4" x14ac:dyDescent="0.3">
      <c r="A1706" t="s">
        <v>3263</v>
      </c>
      <c r="B1706" t="s">
        <v>3336</v>
      </c>
      <c r="C1706" t="s">
        <v>3367</v>
      </c>
      <c r="D1706" t="s">
        <v>3368</v>
      </c>
    </row>
    <row r="1707" spans="1:4" x14ac:dyDescent="0.3">
      <c r="A1707" t="s">
        <v>3263</v>
      </c>
      <c r="B1707" t="s">
        <v>3336</v>
      </c>
      <c r="C1707" t="s">
        <v>3369</v>
      </c>
      <c r="D1707" t="s">
        <v>3370</v>
      </c>
    </row>
    <row r="1708" spans="1:4" x14ac:dyDescent="0.3">
      <c r="A1708" t="s">
        <v>3263</v>
      </c>
      <c r="B1708" t="s">
        <v>3336</v>
      </c>
      <c r="C1708" t="s">
        <v>3371</v>
      </c>
      <c r="D1708" t="s">
        <v>3372</v>
      </c>
    </row>
    <row r="1709" spans="1:4" x14ac:dyDescent="0.3">
      <c r="A1709" t="s">
        <v>3263</v>
      </c>
      <c r="B1709" t="s">
        <v>3336</v>
      </c>
      <c r="C1709" t="s">
        <v>3373</v>
      </c>
      <c r="D1709" t="s">
        <v>3374</v>
      </c>
    </row>
    <row r="1710" spans="1:4" x14ac:dyDescent="0.3">
      <c r="A1710" t="s">
        <v>3263</v>
      </c>
      <c r="B1710" t="s">
        <v>3336</v>
      </c>
      <c r="C1710" t="s">
        <v>3375</v>
      </c>
      <c r="D1710" t="s">
        <v>3376</v>
      </c>
    </row>
    <row r="1711" spans="1:4" x14ac:dyDescent="0.3">
      <c r="A1711" t="s">
        <v>3263</v>
      </c>
      <c r="B1711" t="s">
        <v>3336</v>
      </c>
      <c r="C1711" t="s">
        <v>4186</v>
      </c>
      <c r="D1711" t="s">
        <v>4187</v>
      </c>
    </row>
    <row r="1712" spans="1:4" x14ac:dyDescent="0.3">
      <c r="A1712" t="s">
        <v>3263</v>
      </c>
      <c r="B1712" t="s">
        <v>3336</v>
      </c>
      <c r="C1712" t="s">
        <v>3377</v>
      </c>
      <c r="D1712" t="s">
        <v>1905</v>
      </c>
    </row>
    <row r="1713" spans="1:4" x14ac:dyDescent="0.3">
      <c r="A1713" t="s">
        <v>3378</v>
      </c>
      <c r="B1713" t="s">
        <v>3379</v>
      </c>
      <c r="C1713" t="s">
        <v>3380</v>
      </c>
      <c r="D1713" t="s">
        <v>3381</v>
      </c>
    </row>
    <row r="1714" spans="1:4" x14ac:dyDescent="0.3">
      <c r="A1714" t="s">
        <v>3378</v>
      </c>
      <c r="B1714" t="s">
        <v>3379</v>
      </c>
      <c r="C1714" t="s">
        <v>3382</v>
      </c>
      <c r="D1714" t="s">
        <v>3383</v>
      </c>
    </row>
    <row r="1715" spans="1:4" x14ac:dyDescent="0.3">
      <c r="A1715" t="s">
        <v>3378</v>
      </c>
      <c r="B1715" t="s">
        <v>3379</v>
      </c>
      <c r="C1715" t="s">
        <v>3385</v>
      </c>
      <c r="D1715" t="s">
        <v>3386</v>
      </c>
    </row>
    <row r="1716" spans="1:4" x14ac:dyDescent="0.3">
      <c r="A1716" t="s">
        <v>3378</v>
      </c>
      <c r="B1716" t="s">
        <v>3379</v>
      </c>
      <c r="C1716" t="s">
        <v>3387</v>
      </c>
      <c r="D1716" t="s">
        <v>3388</v>
      </c>
    </row>
    <row r="1717" spans="1:4" x14ac:dyDescent="0.3">
      <c r="A1717" t="s">
        <v>3378</v>
      </c>
      <c r="B1717" t="s">
        <v>3379</v>
      </c>
      <c r="C1717" t="s">
        <v>4297</v>
      </c>
      <c r="D1717" t="s">
        <v>4298</v>
      </c>
    </row>
    <row r="1718" spans="1:4" x14ac:dyDescent="0.3">
      <c r="A1718" t="s">
        <v>3378</v>
      </c>
      <c r="B1718" t="s">
        <v>3379</v>
      </c>
      <c r="C1718" t="s">
        <v>4299</v>
      </c>
      <c r="D1718" t="s">
        <v>3057</v>
      </c>
    </row>
    <row r="1719" spans="1:4" x14ac:dyDescent="0.3">
      <c r="A1719" t="s">
        <v>3378</v>
      </c>
      <c r="B1719" t="s">
        <v>3379</v>
      </c>
      <c r="C1719" t="s">
        <v>3384</v>
      </c>
      <c r="D1719" t="s">
        <v>4192</v>
      </c>
    </row>
    <row r="1720" spans="1:4" x14ac:dyDescent="0.3">
      <c r="A1720" t="s">
        <v>3378</v>
      </c>
      <c r="B1720" t="s">
        <v>3379</v>
      </c>
      <c r="C1720" t="s">
        <v>3389</v>
      </c>
      <c r="D1720" t="s">
        <v>3390</v>
      </c>
    </row>
    <row r="1721" spans="1:4" x14ac:dyDescent="0.3">
      <c r="A1721" t="s">
        <v>3378</v>
      </c>
      <c r="B1721" t="s">
        <v>3379</v>
      </c>
      <c r="C1721" t="s">
        <v>3391</v>
      </c>
      <c r="D1721" t="s">
        <v>3392</v>
      </c>
    </row>
    <row r="1722" spans="1:4" x14ac:dyDescent="0.3">
      <c r="A1722" t="s">
        <v>3378</v>
      </c>
      <c r="B1722" t="s">
        <v>3379</v>
      </c>
      <c r="C1722" t="s">
        <v>3393</v>
      </c>
      <c r="D1722" t="s">
        <v>3394</v>
      </c>
    </row>
    <row r="1723" spans="1:4" x14ac:dyDescent="0.3">
      <c r="A1723" t="s">
        <v>3378</v>
      </c>
      <c r="B1723" t="s">
        <v>3379</v>
      </c>
      <c r="C1723" t="s">
        <v>3395</v>
      </c>
      <c r="D1723" t="s">
        <v>3396</v>
      </c>
    </row>
    <row r="1724" spans="1:4" x14ac:dyDescent="0.3">
      <c r="A1724" t="s">
        <v>3378</v>
      </c>
      <c r="B1724" t="s">
        <v>3379</v>
      </c>
      <c r="C1724" t="s">
        <v>3397</v>
      </c>
      <c r="D1724" t="s">
        <v>3398</v>
      </c>
    </row>
    <row r="1725" spans="1:4" x14ac:dyDescent="0.3">
      <c r="A1725" t="s">
        <v>3378</v>
      </c>
      <c r="B1725" t="s">
        <v>3379</v>
      </c>
      <c r="C1725" t="s">
        <v>3399</v>
      </c>
      <c r="D1725" t="s">
        <v>3400</v>
      </c>
    </row>
    <row r="1726" spans="1:4" x14ac:dyDescent="0.3">
      <c r="A1726" t="s">
        <v>3378</v>
      </c>
      <c r="B1726" t="s">
        <v>3379</v>
      </c>
      <c r="C1726" t="s">
        <v>3401</v>
      </c>
      <c r="D1726" t="s">
        <v>3402</v>
      </c>
    </row>
    <row r="1727" spans="1:4" x14ac:dyDescent="0.3">
      <c r="A1727" t="s">
        <v>3378</v>
      </c>
      <c r="B1727" t="s">
        <v>3379</v>
      </c>
      <c r="C1727" t="s">
        <v>3403</v>
      </c>
      <c r="D1727" t="s">
        <v>3404</v>
      </c>
    </row>
    <row r="1728" spans="1:4" x14ac:dyDescent="0.3">
      <c r="A1728" t="s">
        <v>3378</v>
      </c>
      <c r="B1728" t="s">
        <v>3379</v>
      </c>
      <c r="C1728" t="s">
        <v>3405</v>
      </c>
      <c r="D1728" t="s">
        <v>3406</v>
      </c>
    </row>
    <row r="1729" spans="1:4" x14ac:dyDescent="0.3">
      <c r="A1729" t="s">
        <v>3378</v>
      </c>
      <c r="B1729" t="s">
        <v>3379</v>
      </c>
      <c r="C1729" t="s">
        <v>4300</v>
      </c>
      <c r="D1729" t="s">
        <v>4301</v>
      </c>
    </row>
    <row r="1730" spans="1:4" x14ac:dyDescent="0.3">
      <c r="A1730" t="s">
        <v>3378</v>
      </c>
      <c r="B1730" t="s">
        <v>3379</v>
      </c>
      <c r="C1730" t="s">
        <v>3407</v>
      </c>
      <c r="D1730" t="s">
        <v>3408</v>
      </c>
    </row>
    <row r="1731" spans="1:4" x14ac:dyDescent="0.3">
      <c r="A1731" t="s">
        <v>3378</v>
      </c>
      <c r="B1731" t="s">
        <v>3379</v>
      </c>
      <c r="C1731" t="s">
        <v>3409</v>
      </c>
      <c r="D1731" t="s">
        <v>3410</v>
      </c>
    </row>
    <row r="1732" spans="1:4" x14ac:dyDescent="0.3">
      <c r="A1732" t="s">
        <v>3378</v>
      </c>
      <c r="B1732" t="s">
        <v>3379</v>
      </c>
      <c r="C1732" t="s">
        <v>3411</v>
      </c>
      <c r="D1732" t="s">
        <v>3412</v>
      </c>
    </row>
    <row r="1733" spans="1:4" x14ac:dyDescent="0.3">
      <c r="A1733" t="s">
        <v>3378</v>
      </c>
      <c r="B1733" t="s">
        <v>3379</v>
      </c>
      <c r="C1733" t="s">
        <v>3413</v>
      </c>
      <c r="D1733" t="s">
        <v>3414</v>
      </c>
    </row>
    <row r="1734" spans="1:4" x14ac:dyDescent="0.3">
      <c r="A1734" t="s">
        <v>3378</v>
      </c>
      <c r="B1734" t="s">
        <v>3379</v>
      </c>
      <c r="C1734" t="s">
        <v>3415</v>
      </c>
      <c r="D1734" t="s">
        <v>3416</v>
      </c>
    </row>
    <row r="1735" spans="1:4" x14ac:dyDescent="0.3">
      <c r="A1735" t="s">
        <v>3378</v>
      </c>
      <c r="B1735" t="s">
        <v>3379</v>
      </c>
      <c r="C1735" t="s">
        <v>3417</v>
      </c>
      <c r="D1735" t="s">
        <v>3418</v>
      </c>
    </row>
    <row r="1736" spans="1:4" x14ac:dyDescent="0.3">
      <c r="A1736" t="s">
        <v>3378</v>
      </c>
      <c r="B1736" t="s">
        <v>3379</v>
      </c>
      <c r="C1736" t="s">
        <v>3419</v>
      </c>
      <c r="D1736" t="s">
        <v>3420</v>
      </c>
    </row>
    <row r="1737" spans="1:4" x14ac:dyDescent="0.3">
      <c r="A1737" t="s">
        <v>3378</v>
      </c>
      <c r="B1737" t="s">
        <v>3379</v>
      </c>
      <c r="C1737" t="s">
        <v>3421</v>
      </c>
      <c r="D1737" t="s">
        <v>3422</v>
      </c>
    </row>
    <row r="1738" spans="1:4" x14ac:dyDescent="0.3">
      <c r="A1738" t="s">
        <v>3378</v>
      </c>
      <c r="B1738" t="s">
        <v>3379</v>
      </c>
      <c r="C1738" t="s">
        <v>3423</v>
      </c>
      <c r="D1738" t="s">
        <v>3424</v>
      </c>
    </row>
    <row r="1739" spans="1:4" x14ac:dyDescent="0.3">
      <c r="A1739" t="s">
        <v>3378</v>
      </c>
      <c r="B1739" t="s">
        <v>3379</v>
      </c>
      <c r="C1739" t="s">
        <v>3425</v>
      </c>
      <c r="D1739" t="s">
        <v>3426</v>
      </c>
    </row>
    <row r="1740" spans="1:4" x14ac:dyDescent="0.3">
      <c r="A1740" t="s">
        <v>3378</v>
      </c>
      <c r="B1740" t="s">
        <v>3379</v>
      </c>
      <c r="C1740" t="s">
        <v>3427</v>
      </c>
      <c r="D1740" t="s">
        <v>3428</v>
      </c>
    </row>
    <row r="1741" spans="1:4" x14ac:dyDescent="0.3">
      <c r="A1741" t="s">
        <v>3378</v>
      </c>
      <c r="B1741" t="s">
        <v>3379</v>
      </c>
      <c r="C1741" t="s">
        <v>3429</v>
      </c>
      <c r="D1741" t="s">
        <v>3430</v>
      </c>
    </row>
    <row r="1742" spans="1:4" x14ac:dyDescent="0.3">
      <c r="A1742" t="s">
        <v>3378</v>
      </c>
      <c r="B1742" t="s">
        <v>3379</v>
      </c>
      <c r="C1742" t="s">
        <v>3431</v>
      </c>
      <c r="D1742" t="s">
        <v>3432</v>
      </c>
    </row>
    <row r="1743" spans="1:4" x14ac:dyDescent="0.3">
      <c r="A1743" t="s">
        <v>3378</v>
      </c>
      <c r="B1743" t="s">
        <v>3379</v>
      </c>
      <c r="C1743" t="s">
        <v>4302</v>
      </c>
      <c r="D1743" t="s">
        <v>4303</v>
      </c>
    </row>
    <row r="1744" spans="1:4" x14ac:dyDescent="0.3">
      <c r="A1744" t="s">
        <v>3378</v>
      </c>
      <c r="B1744" t="s">
        <v>3379</v>
      </c>
      <c r="C1744" t="s">
        <v>3433</v>
      </c>
      <c r="D1744" t="s">
        <v>3434</v>
      </c>
    </row>
    <row r="1745" spans="1:4" x14ac:dyDescent="0.3">
      <c r="A1745" t="s">
        <v>3378</v>
      </c>
      <c r="B1745" t="s">
        <v>3379</v>
      </c>
      <c r="C1745" t="s">
        <v>3435</v>
      </c>
      <c r="D1745" t="s">
        <v>3436</v>
      </c>
    </row>
    <row r="1746" spans="1:4" x14ac:dyDescent="0.3">
      <c r="A1746" t="s">
        <v>3378</v>
      </c>
      <c r="B1746" t="s">
        <v>3379</v>
      </c>
      <c r="C1746" t="s">
        <v>3438</v>
      </c>
      <c r="D1746" t="s">
        <v>3439</v>
      </c>
    </row>
    <row r="1747" spans="1:4" x14ac:dyDescent="0.3">
      <c r="A1747" t="s">
        <v>3378</v>
      </c>
      <c r="B1747" t="s">
        <v>3379</v>
      </c>
      <c r="C1747" t="s">
        <v>3440</v>
      </c>
      <c r="D1747" t="s">
        <v>3441</v>
      </c>
    </row>
    <row r="1748" spans="1:4" x14ac:dyDescent="0.3">
      <c r="A1748" t="s">
        <v>3378</v>
      </c>
      <c r="B1748" t="s">
        <v>3379</v>
      </c>
      <c r="C1748" t="s">
        <v>3442</v>
      </c>
      <c r="D1748" t="s">
        <v>3443</v>
      </c>
    </row>
    <row r="1749" spans="1:4" x14ac:dyDescent="0.3">
      <c r="A1749" t="s">
        <v>3378</v>
      </c>
      <c r="B1749" t="s">
        <v>3379</v>
      </c>
      <c r="C1749" t="s">
        <v>3444</v>
      </c>
      <c r="D1749" t="s">
        <v>3445</v>
      </c>
    </row>
    <row r="1750" spans="1:4" x14ac:dyDescent="0.3">
      <c r="A1750" t="s">
        <v>3378</v>
      </c>
      <c r="B1750" t="s">
        <v>3379</v>
      </c>
      <c r="C1750" t="s">
        <v>3446</v>
      </c>
      <c r="D1750" t="s">
        <v>3447</v>
      </c>
    </row>
    <row r="1751" spans="1:4" x14ac:dyDescent="0.3">
      <c r="A1751" t="s">
        <v>3378</v>
      </c>
      <c r="B1751" t="s">
        <v>3379</v>
      </c>
      <c r="C1751" t="s">
        <v>4194</v>
      </c>
      <c r="D1751" t="s">
        <v>4195</v>
      </c>
    </row>
    <row r="1752" spans="1:4" x14ac:dyDescent="0.3">
      <c r="A1752" t="s">
        <v>3378</v>
      </c>
      <c r="B1752" t="s">
        <v>3379</v>
      </c>
      <c r="C1752" t="s">
        <v>3437</v>
      </c>
      <c r="D1752" t="s">
        <v>4193</v>
      </c>
    </row>
    <row r="1753" spans="1:4" x14ac:dyDescent="0.3">
      <c r="A1753" t="s">
        <v>3378</v>
      </c>
      <c r="B1753" t="s">
        <v>3379</v>
      </c>
      <c r="C1753" t="s">
        <v>3448</v>
      </c>
      <c r="D1753" t="s">
        <v>3449</v>
      </c>
    </row>
    <row r="1754" spans="1:4" x14ac:dyDescent="0.3">
      <c r="A1754" t="s">
        <v>3378</v>
      </c>
      <c r="B1754" t="s">
        <v>3379</v>
      </c>
      <c r="C1754" t="s">
        <v>3450</v>
      </c>
      <c r="D1754" t="s">
        <v>3451</v>
      </c>
    </row>
    <row r="1755" spans="1:4" x14ac:dyDescent="0.3">
      <c r="A1755" t="s">
        <v>3378</v>
      </c>
      <c r="B1755" t="s">
        <v>3379</v>
      </c>
      <c r="C1755" t="s">
        <v>3452</v>
      </c>
      <c r="D1755" t="s">
        <v>3453</v>
      </c>
    </row>
    <row r="1756" spans="1:4" x14ac:dyDescent="0.3">
      <c r="A1756" t="s">
        <v>3378</v>
      </c>
      <c r="B1756" t="s">
        <v>3379</v>
      </c>
      <c r="C1756" t="s">
        <v>3454</v>
      </c>
      <c r="D1756" t="s">
        <v>3455</v>
      </c>
    </row>
    <row r="1757" spans="1:4" x14ac:dyDescent="0.3">
      <c r="A1757" t="s">
        <v>3378</v>
      </c>
      <c r="B1757" t="s">
        <v>3379</v>
      </c>
      <c r="C1757" t="s">
        <v>3456</v>
      </c>
      <c r="D1757" t="s">
        <v>3457</v>
      </c>
    </row>
    <row r="1758" spans="1:4" x14ac:dyDescent="0.3">
      <c r="A1758" t="s">
        <v>3334</v>
      </c>
      <c r="B1758" t="s">
        <v>3458</v>
      </c>
      <c r="C1758" t="s">
        <v>3459</v>
      </c>
      <c r="D1758" t="s">
        <v>3460</v>
      </c>
    </row>
    <row r="1759" spans="1:4" x14ac:dyDescent="0.3">
      <c r="A1759" t="s">
        <v>3334</v>
      </c>
      <c r="B1759" t="s">
        <v>3458</v>
      </c>
      <c r="C1759" t="s">
        <v>3461</v>
      </c>
      <c r="D1759" t="s">
        <v>3462</v>
      </c>
    </row>
    <row r="1760" spans="1:4" x14ac:dyDescent="0.3">
      <c r="A1760" t="s">
        <v>3334</v>
      </c>
      <c r="B1760" t="s">
        <v>3458</v>
      </c>
      <c r="C1760" t="s">
        <v>3463</v>
      </c>
      <c r="D1760" t="s">
        <v>3464</v>
      </c>
    </row>
    <row r="1761" spans="1:4" x14ac:dyDescent="0.3">
      <c r="A1761" t="s">
        <v>3334</v>
      </c>
      <c r="B1761" t="s">
        <v>3458</v>
      </c>
      <c r="C1761" t="s">
        <v>3465</v>
      </c>
      <c r="D1761" t="s">
        <v>3466</v>
      </c>
    </row>
    <row r="1762" spans="1:4" x14ac:dyDescent="0.3">
      <c r="A1762" t="s">
        <v>3334</v>
      </c>
      <c r="B1762" t="s">
        <v>3458</v>
      </c>
      <c r="C1762" t="s">
        <v>2558</v>
      </c>
      <c r="D1762" t="s">
        <v>332</v>
      </c>
    </row>
    <row r="1763" spans="1:4" x14ac:dyDescent="0.3">
      <c r="A1763" t="s">
        <v>3334</v>
      </c>
      <c r="B1763" t="s">
        <v>3458</v>
      </c>
      <c r="C1763" t="s">
        <v>3467</v>
      </c>
      <c r="D1763" t="s">
        <v>338</v>
      </c>
    </row>
    <row r="1764" spans="1:4" x14ac:dyDescent="0.3">
      <c r="A1764" t="s">
        <v>3334</v>
      </c>
      <c r="B1764" t="s">
        <v>3458</v>
      </c>
      <c r="C1764" t="s">
        <v>3468</v>
      </c>
      <c r="D1764" t="s">
        <v>3469</v>
      </c>
    </row>
    <row r="1765" spans="1:4" x14ac:dyDescent="0.3">
      <c r="A1765" t="s">
        <v>3334</v>
      </c>
      <c r="B1765" t="s">
        <v>3458</v>
      </c>
      <c r="C1765" t="s">
        <v>3470</v>
      </c>
      <c r="D1765" t="s">
        <v>3471</v>
      </c>
    </row>
    <row r="1766" spans="1:4" x14ac:dyDescent="0.3">
      <c r="A1766" t="s">
        <v>3334</v>
      </c>
      <c r="B1766" t="s">
        <v>3458</v>
      </c>
      <c r="C1766" t="s">
        <v>3472</v>
      </c>
      <c r="D1766" t="s">
        <v>374</v>
      </c>
    </row>
    <row r="1767" spans="1:4" x14ac:dyDescent="0.3">
      <c r="A1767" t="s">
        <v>3334</v>
      </c>
      <c r="B1767" t="s">
        <v>3458</v>
      </c>
      <c r="C1767" t="s">
        <v>3473</v>
      </c>
      <c r="D1767" t="s">
        <v>3474</v>
      </c>
    </row>
    <row r="1768" spans="1:4" x14ac:dyDescent="0.3">
      <c r="A1768" t="s">
        <v>3334</v>
      </c>
      <c r="B1768" t="s">
        <v>3458</v>
      </c>
      <c r="C1768" t="s">
        <v>3475</v>
      </c>
      <c r="D1768" t="s">
        <v>3476</v>
      </c>
    </row>
    <row r="1769" spans="1:4" x14ac:dyDescent="0.3">
      <c r="A1769" t="s">
        <v>3334</v>
      </c>
      <c r="B1769" t="s">
        <v>3458</v>
      </c>
      <c r="C1769" t="s">
        <v>3477</v>
      </c>
      <c r="D1769" t="s">
        <v>3478</v>
      </c>
    </row>
    <row r="1770" spans="1:4" x14ac:dyDescent="0.3">
      <c r="A1770" t="s">
        <v>3334</v>
      </c>
      <c r="B1770" t="s">
        <v>3458</v>
      </c>
      <c r="C1770" t="s">
        <v>3479</v>
      </c>
      <c r="D1770" t="s">
        <v>1397</v>
      </c>
    </row>
    <row r="1771" spans="1:4" x14ac:dyDescent="0.3">
      <c r="A1771" t="s">
        <v>3334</v>
      </c>
      <c r="B1771" t="s">
        <v>3458</v>
      </c>
      <c r="C1771" t="s">
        <v>3480</v>
      </c>
      <c r="D1771" t="s">
        <v>3481</v>
      </c>
    </row>
    <row r="1772" spans="1:4" x14ac:dyDescent="0.3">
      <c r="A1772" t="s">
        <v>3334</v>
      </c>
      <c r="B1772" t="s">
        <v>3458</v>
      </c>
      <c r="C1772" t="s">
        <v>3482</v>
      </c>
      <c r="D1772" t="s">
        <v>3483</v>
      </c>
    </row>
    <row r="1773" spans="1:4" x14ac:dyDescent="0.3">
      <c r="A1773" t="s">
        <v>3334</v>
      </c>
      <c r="B1773" t="s">
        <v>3458</v>
      </c>
      <c r="C1773" t="s">
        <v>3484</v>
      </c>
      <c r="D1773" t="s">
        <v>3485</v>
      </c>
    </row>
    <row r="1774" spans="1:4" x14ac:dyDescent="0.3">
      <c r="A1774" t="s">
        <v>3334</v>
      </c>
      <c r="B1774" t="s">
        <v>3458</v>
      </c>
      <c r="C1774" t="s">
        <v>3486</v>
      </c>
      <c r="D1774" t="s">
        <v>3487</v>
      </c>
    </row>
    <row r="1775" spans="1:4" x14ac:dyDescent="0.3">
      <c r="A1775" t="s">
        <v>3334</v>
      </c>
      <c r="B1775" t="s">
        <v>3458</v>
      </c>
      <c r="C1775" t="s">
        <v>3488</v>
      </c>
      <c r="D1775" t="s">
        <v>3489</v>
      </c>
    </row>
    <row r="1776" spans="1:4" x14ac:dyDescent="0.3">
      <c r="A1776" t="s">
        <v>3334</v>
      </c>
      <c r="B1776" t="s">
        <v>3458</v>
      </c>
      <c r="C1776" t="s">
        <v>3490</v>
      </c>
      <c r="D1776" t="s">
        <v>3491</v>
      </c>
    </row>
    <row r="1777" spans="1:4" x14ac:dyDescent="0.3">
      <c r="A1777" t="s">
        <v>3334</v>
      </c>
      <c r="B1777" t="s">
        <v>3458</v>
      </c>
      <c r="C1777" t="s">
        <v>3492</v>
      </c>
      <c r="D1777" t="s">
        <v>3493</v>
      </c>
    </row>
    <row r="1778" spans="1:4" x14ac:dyDescent="0.3">
      <c r="A1778" t="s">
        <v>3334</v>
      </c>
      <c r="B1778" t="s">
        <v>3458</v>
      </c>
      <c r="C1778" t="s">
        <v>3494</v>
      </c>
      <c r="D1778" t="s">
        <v>3495</v>
      </c>
    </row>
    <row r="1779" spans="1:4" x14ac:dyDescent="0.3">
      <c r="A1779" t="s">
        <v>3334</v>
      </c>
      <c r="B1779" t="s">
        <v>3458</v>
      </c>
      <c r="C1779" t="s">
        <v>3496</v>
      </c>
      <c r="D1779" t="s">
        <v>3497</v>
      </c>
    </row>
    <row r="1780" spans="1:4" x14ac:dyDescent="0.3">
      <c r="A1780" t="s">
        <v>3334</v>
      </c>
      <c r="B1780" t="s">
        <v>3458</v>
      </c>
      <c r="C1780" t="s">
        <v>3498</v>
      </c>
      <c r="D1780" t="s">
        <v>509</v>
      </c>
    </row>
    <row r="1781" spans="1:4" x14ac:dyDescent="0.3">
      <c r="A1781" t="s">
        <v>3499</v>
      </c>
      <c r="B1781" t="s">
        <v>3500</v>
      </c>
      <c r="C1781" t="s">
        <v>3501</v>
      </c>
      <c r="D1781" t="s">
        <v>3502</v>
      </c>
    </row>
    <row r="1782" spans="1:4" x14ac:dyDescent="0.3">
      <c r="A1782" t="s">
        <v>3499</v>
      </c>
      <c r="B1782" t="s">
        <v>3500</v>
      </c>
      <c r="C1782" t="s">
        <v>3503</v>
      </c>
      <c r="D1782" t="s">
        <v>3504</v>
      </c>
    </row>
    <row r="1783" spans="1:4" x14ac:dyDescent="0.3">
      <c r="A1783" t="s">
        <v>3499</v>
      </c>
      <c r="B1783" t="s">
        <v>3500</v>
      </c>
      <c r="C1783" t="s">
        <v>3505</v>
      </c>
      <c r="D1783" t="s">
        <v>3506</v>
      </c>
    </row>
    <row r="1784" spans="1:4" x14ac:dyDescent="0.3">
      <c r="A1784" t="s">
        <v>3499</v>
      </c>
      <c r="B1784" t="s">
        <v>3500</v>
      </c>
      <c r="C1784" t="s">
        <v>3507</v>
      </c>
      <c r="D1784" t="s">
        <v>3508</v>
      </c>
    </row>
    <row r="1785" spans="1:4" x14ac:dyDescent="0.3">
      <c r="A1785" t="s">
        <v>3499</v>
      </c>
      <c r="B1785" t="s">
        <v>3500</v>
      </c>
      <c r="C1785" t="s">
        <v>3509</v>
      </c>
      <c r="D1785" t="s">
        <v>3510</v>
      </c>
    </row>
    <row r="1786" spans="1:4" x14ac:dyDescent="0.3">
      <c r="A1786" t="s">
        <v>3499</v>
      </c>
      <c r="B1786" t="s">
        <v>3500</v>
      </c>
      <c r="C1786" t="s">
        <v>3511</v>
      </c>
      <c r="D1786" t="s">
        <v>3512</v>
      </c>
    </row>
    <row r="1787" spans="1:4" x14ac:dyDescent="0.3">
      <c r="A1787" t="s">
        <v>3499</v>
      </c>
      <c r="B1787" t="s">
        <v>3500</v>
      </c>
      <c r="C1787" t="s">
        <v>3513</v>
      </c>
      <c r="D1787" t="s">
        <v>3514</v>
      </c>
    </row>
    <row r="1788" spans="1:4" x14ac:dyDescent="0.3">
      <c r="A1788" t="s">
        <v>3499</v>
      </c>
      <c r="B1788" t="s">
        <v>3500</v>
      </c>
      <c r="C1788" t="s">
        <v>3515</v>
      </c>
      <c r="D1788" t="s">
        <v>3516</v>
      </c>
    </row>
    <row r="1789" spans="1:4" x14ac:dyDescent="0.3">
      <c r="A1789" t="s">
        <v>3499</v>
      </c>
      <c r="B1789" t="s">
        <v>3500</v>
      </c>
      <c r="C1789" t="s">
        <v>3517</v>
      </c>
      <c r="D1789" t="s">
        <v>730</v>
      </c>
    </row>
    <row r="1790" spans="1:4" x14ac:dyDescent="0.3">
      <c r="A1790" t="s">
        <v>3499</v>
      </c>
      <c r="B1790" t="s">
        <v>3500</v>
      </c>
      <c r="C1790" t="s">
        <v>3518</v>
      </c>
      <c r="D1790" t="s">
        <v>3519</v>
      </c>
    </row>
    <row r="1791" spans="1:4" x14ac:dyDescent="0.3">
      <c r="A1791" t="s">
        <v>3499</v>
      </c>
      <c r="B1791" t="s">
        <v>3500</v>
      </c>
      <c r="C1791" t="s">
        <v>3520</v>
      </c>
      <c r="D1791" t="s">
        <v>3521</v>
      </c>
    </row>
    <row r="1792" spans="1:4" x14ac:dyDescent="0.3">
      <c r="A1792" t="s">
        <v>3499</v>
      </c>
      <c r="B1792" t="s">
        <v>3500</v>
      </c>
      <c r="C1792" t="s">
        <v>3522</v>
      </c>
      <c r="D1792" t="s">
        <v>3523</v>
      </c>
    </row>
    <row r="1793" spans="1:4" x14ac:dyDescent="0.3">
      <c r="A1793" t="s">
        <v>3499</v>
      </c>
      <c r="B1793" t="s">
        <v>3500</v>
      </c>
      <c r="C1793" t="s">
        <v>3524</v>
      </c>
      <c r="D1793" t="s">
        <v>3525</v>
      </c>
    </row>
    <row r="1794" spans="1:4" x14ac:dyDescent="0.3">
      <c r="A1794" t="s">
        <v>3499</v>
      </c>
      <c r="B1794" t="s">
        <v>3500</v>
      </c>
      <c r="C1794" t="s">
        <v>3526</v>
      </c>
      <c r="D1794" t="s">
        <v>3527</v>
      </c>
    </row>
    <row r="1795" spans="1:4" x14ac:dyDescent="0.3">
      <c r="A1795" t="s">
        <v>3499</v>
      </c>
      <c r="B1795" t="s">
        <v>3500</v>
      </c>
      <c r="C1795" t="s">
        <v>3528</v>
      </c>
      <c r="D1795" t="s">
        <v>3529</v>
      </c>
    </row>
    <row r="1796" spans="1:4" x14ac:dyDescent="0.3">
      <c r="A1796" t="s">
        <v>3499</v>
      </c>
      <c r="B1796" t="s">
        <v>3500</v>
      </c>
      <c r="C1796" t="s">
        <v>3530</v>
      </c>
      <c r="D1796" t="s">
        <v>3531</v>
      </c>
    </row>
    <row r="1797" spans="1:4" x14ac:dyDescent="0.3">
      <c r="A1797" t="s">
        <v>3499</v>
      </c>
      <c r="B1797" t="s">
        <v>3500</v>
      </c>
      <c r="C1797" t="s">
        <v>3532</v>
      </c>
      <c r="D1797" t="s">
        <v>3533</v>
      </c>
    </row>
    <row r="1798" spans="1:4" x14ac:dyDescent="0.3">
      <c r="A1798" t="s">
        <v>3499</v>
      </c>
      <c r="B1798" t="s">
        <v>3500</v>
      </c>
      <c r="C1798" t="s">
        <v>3534</v>
      </c>
      <c r="D1798" t="s">
        <v>3535</v>
      </c>
    </row>
    <row r="1799" spans="1:4" x14ac:dyDescent="0.3">
      <c r="A1799" t="s">
        <v>3499</v>
      </c>
      <c r="B1799" t="s">
        <v>3500</v>
      </c>
      <c r="C1799" t="s">
        <v>3536</v>
      </c>
      <c r="D1799" t="s">
        <v>3537</v>
      </c>
    </row>
    <row r="1800" spans="1:4" x14ac:dyDescent="0.3">
      <c r="A1800" t="s">
        <v>3499</v>
      </c>
      <c r="B1800" t="s">
        <v>3500</v>
      </c>
      <c r="C1800" t="s">
        <v>3538</v>
      </c>
      <c r="D1800" t="s">
        <v>3539</v>
      </c>
    </row>
    <row r="1801" spans="1:4" x14ac:dyDescent="0.3">
      <c r="A1801" t="s">
        <v>3499</v>
      </c>
      <c r="B1801" t="s">
        <v>3500</v>
      </c>
      <c r="C1801" t="s">
        <v>3540</v>
      </c>
      <c r="D1801" t="s">
        <v>3541</v>
      </c>
    </row>
    <row r="1802" spans="1:4" x14ac:dyDescent="0.3">
      <c r="A1802" t="s">
        <v>3499</v>
      </c>
      <c r="B1802" t="s">
        <v>3500</v>
      </c>
      <c r="C1802" t="s">
        <v>3542</v>
      </c>
      <c r="D1802" t="s">
        <v>3543</v>
      </c>
    </row>
    <row r="1803" spans="1:4" x14ac:dyDescent="0.3">
      <c r="A1803" t="s">
        <v>3499</v>
      </c>
      <c r="B1803" t="s">
        <v>3500</v>
      </c>
      <c r="C1803" t="s">
        <v>3544</v>
      </c>
      <c r="D1803" t="s">
        <v>3545</v>
      </c>
    </row>
    <row r="1804" spans="1:4" x14ac:dyDescent="0.3">
      <c r="A1804" t="s">
        <v>3499</v>
      </c>
      <c r="B1804" t="s">
        <v>3500</v>
      </c>
      <c r="C1804" t="s">
        <v>3546</v>
      </c>
      <c r="D1804" t="s">
        <v>3547</v>
      </c>
    </row>
    <row r="1805" spans="1:4" x14ac:dyDescent="0.3">
      <c r="A1805" t="s">
        <v>3499</v>
      </c>
      <c r="B1805" t="s">
        <v>3500</v>
      </c>
      <c r="C1805" t="s">
        <v>3548</v>
      </c>
      <c r="D1805" t="s">
        <v>3549</v>
      </c>
    </row>
    <row r="1806" spans="1:4" x14ac:dyDescent="0.3">
      <c r="A1806" t="s">
        <v>3499</v>
      </c>
      <c r="B1806" t="s">
        <v>3500</v>
      </c>
      <c r="C1806" t="s">
        <v>3550</v>
      </c>
      <c r="D1806" t="s">
        <v>3551</v>
      </c>
    </row>
    <row r="1807" spans="1:4" x14ac:dyDescent="0.3">
      <c r="A1807" t="s">
        <v>3499</v>
      </c>
      <c r="B1807" t="s">
        <v>3500</v>
      </c>
      <c r="C1807" t="s">
        <v>3552</v>
      </c>
      <c r="D1807" t="s">
        <v>3553</v>
      </c>
    </row>
    <row r="1808" spans="1:4" x14ac:dyDescent="0.3">
      <c r="A1808" t="s">
        <v>3499</v>
      </c>
      <c r="B1808" t="s">
        <v>3500</v>
      </c>
      <c r="C1808" t="s">
        <v>3554</v>
      </c>
      <c r="D1808" t="s">
        <v>3555</v>
      </c>
    </row>
    <row r="1809" spans="1:4" x14ac:dyDescent="0.3">
      <c r="A1809" t="s">
        <v>3499</v>
      </c>
      <c r="B1809" t="s">
        <v>3500</v>
      </c>
      <c r="C1809" t="s">
        <v>3556</v>
      </c>
      <c r="D1809" t="s">
        <v>3557</v>
      </c>
    </row>
    <row r="1810" spans="1:4" x14ac:dyDescent="0.3">
      <c r="A1810" t="s">
        <v>3499</v>
      </c>
      <c r="B1810" t="s">
        <v>3500</v>
      </c>
      <c r="C1810" t="s">
        <v>3558</v>
      </c>
      <c r="D1810" t="s">
        <v>3559</v>
      </c>
    </row>
    <row r="1811" spans="1:4" x14ac:dyDescent="0.3">
      <c r="A1811" t="s">
        <v>3499</v>
      </c>
      <c r="B1811" t="s">
        <v>3500</v>
      </c>
      <c r="C1811" t="s">
        <v>3560</v>
      </c>
      <c r="D1811" t="s">
        <v>3561</v>
      </c>
    </row>
    <row r="1812" spans="1:4" x14ac:dyDescent="0.3">
      <c r="A1812" t="s">
        <v>3562</v>
      </c>
      <c r="B1812" t="s">
        <v>3563</v>
      </c>
      <c r="C1812" t="s">
        <v>3564</v>
      </c>
      <c r="D1812" t="s">
        <v>3565</v>
      </c>
    </row>
    <row r="1813" spans="1:4" x14ac:dyDescent="0.3">
      <c r="A1813" t="s">
        <v>3562</v>
      </c>
      <c r="B1813" t="s">
        <v>3563</v>
      </c>
      <c r="C1813" t="s">
        <v>3566</v>
      </c>
      <c r="D1813" t="s">
        <v>3567</v>
      </c>
    </row>
    <row r="1814" spans="1:4" x14ac:dyDescent="0.3">
      <c r="A1814" t="s">
        <v>3562</v>
      </c>
      <c r="B1814" t="s">
        <v>3563</v>
      </c>
      <c r="C1814" t="s">
        <v>3568</v>
      </c>
      <c r="D1814" t="s">
        <v>3569</v>
      </c>
    </row>
    <row r="1815" spans="1:4" x14ac:dyDescent="0.3">
      <c r="A1815" t="s">
        <v>3562</v>
      </c>
      <c r="B1815" t="s">
        <v>3563</v>
      </c>
      <c r="C1815" t="s">
        <v>3570</v>
      </c>
      <c r="D1815" t="s">
        <v>3571</v>
      </c>
    </row>
    <row r="1816" spans="1:4" x14ac:dyDescent="0.3">
      <c r="A1816" t="s">
        <v>3562</v>
      </c>
      <c r="B1816" t="s">
        <v>3563</v>
      </c>
      <c r="C1816" t="s">
        <v>3572</v>
      </c>
      <c r="D1816" t="s">
        <v>3573</v>
      </c>
    </row>
    <row r="1817" spans="1:4" x14ac:dyDescent="0.3">
      <c r="A1817" t="s">
        <v>3562</v>
      </c>
      <c r="B1817" t="s">
        <v>3563</v>
      </c>
      <c r="C1817" t="s">
        <v>3574</v>
      </c>
      <c r="D1817" t="s">
        <v>3575</v>
      </c>
    </row>
    <row r="1818" spans="1:4" x14ac:dyDescent="0.3">
      <c r="A1818" t="s">
        <v>3562</v>
      </c>
      <c r="B1818" t="s">
        <v>3563</v>
      </c>
      <c r="C1818" t="s">
        <v>3576</v>
      </c>
      <c r="D1818" t="s">
        <v>3577</v>
      </c>
    </row>
    <row r="1819" spans="1:4" x14ac:dyDescent="0.3">
      <c r="A1819" t="s">
        <v>3562</v>
      </c>
      <c r="B1819" t="s">
        <v>3563</v>
      </c>
      <c r="C1819" t="s">
        <v>3578</v>
      </c>
      <c r="D1819" t="s">
        <v>3579</v>
      </c>
    </row>
    <row r="1820" spans="1:4" x14ac:dyDescent="0.3">
      <c r="A1820" t="s">
        <v>3562</v>
      </c>
      <c r="B1820" t="s">
        <v>3563</v>
      </c>
      <c r="C1820" t="s">
        <v>3580</v>
      </c>
      <c r="D1820" t="s">
        <v>3581</v>
      </c>
    </row>
    <row r="1821" spans="1:4" x14ac:dyDescent="0.3">
      <c r="A1821" t="s">
        <v>3562</v>
      </c>
      <c r="B1821" t="s">
        <v>3563</v>
      </c>
      <c r="C1821" t="s">
        <v>3582</v>
      </c>
      <c r="D1821" t="s">
        <v>3583</v>
      </c>
    </row>
    <row r="1822" spans="1:4" x14ac:dyDescent="0.3">
      <c r="A1822" t="s">
        <v>3562</v>
      </c>
      <c r="B1822" t="s">
        <v>3563</v>
      </c>
      <c r="C1822" t="s">
        <v>3584</v>
      </c>
      <c r="D1822" t="s">
        <v>3585</v>
      </c>
    </row>
    <row r="1823" spans="1:4" x14ac:dyDescent="0.3">
      <c r="A1823" t="s">
        <v>3562</v>
      </c>
      <c r="B1823" t="s">
        <v>3563</v>
      </c>
      <c r="C1823" t="s">
        <v>3586</v>
      </c>
      <c r="D1823" t="s">
        <v>3587</v>
      </c>
    </row>
    <row r="1824" spans="1:4" x14ac:dyDescent="0.3">
      <c r="A1824" t="s">
        <v>3562</v>
      </c>
      <c r="B1824" t="s">
        <v>3563</v>
      </c>
      <c r="C1824" t="s">
        <v>3588</v>
      </c>
      <c r="D1824" t="s">
        <v>3589</v>
      </c>
    </row>
    <row r="1825" spans="1:4" x14ac:dyDescent="0.3">
      <c r="A1825" t="s">
        <v>3562</v>
      </c>
      <c r="B1825" t="s">
        <v>3563</v>
      </c>
      <c r="C1825" t="s">
        <v>3590</v>
      </c>
      <c r="D1825" t="s">
        <v>3591</v>
      </c>
    </row>
    <row r="1826" spans="1:4" x14ac:dyDescent="0.3">
      <c r="A1826" t="s">
        <v>3562</v>
      </c>
      <c r="B1826" t="s">
        <v>3563</v>
      </c>
      <c r="C1826" t="s">
        <v>3592</v>
      </c>
      <c r="D1826" t="s">
        <v>3593</v>
      </c>
    </row>
    <row r="1827" spans="1:4" x14ac:dyDescent="0.3">
      <c r="A1827" t="s">
        <v>3562</v>
      </c>
      <c r="B1827" t="s">
        <v>3563</v>
      </c>
      <c r="C1827" t="s">
        <v>3594</v>
      </c>
      <c r="D1827" t="s">
        <v>3595</v>
      </c>
    </row>
    <row r="1828" spans="1:4" x14ac:dyDescent="0.3">
      <c r="A1828" t="s">
        <v>3562</v>
      </c>
      <c r="B1828" t="s">
        <v>3563</v>
      </c>
      <c r="C1828" t="s">
        <v>3596</v>
      </c>
      <c r="D1828" t="s">
        <v>3597</v>
      </c>
    </row>
    <row r="1829" spans="1:4" x14ac:dyDescent="0.3">
      <c r="A1829" t="s">
        <v>3562</v>
      </c>
      <c r="B1829" t="s">
        <v>3563</v>
      </c>
      <c r="C1829" t="s">
        <v>3598</v>
      </c>
      <c r="D1829" t="s">
        <v>3599</v>
      </c>
    </row>
    <row r="1830" spans="1:4" x14ac:dyDescent="0.3">
      <c r="A1830" t="s">
        <v>3562</v>
      </c>
      <c r="B1830" t="s">
        <v>3563</v>
      </c>
      <c r="C1830" t="s">
        <v>3600</v>
      </c>
      <c r="D1830" t="s">
        <v>3601</v>
      </c>
    </row>
    <row r="1831" spans="1:4" x14ac:dyDescent="0.3">
      <c r="A1831" t="s">
        <v>3562</v>
      </c>
      <c r="B1831" t="s">
        <v>3563</v>
      </c>
      <c r="C1831" t="s">
        <v>3602</v>
      </c>
      <c r="D1831" t="s">
        <v>3603</v>
      </c>
    </row>
    <row r="1832" spans="1:4" x14ac:dyDescent="0.3">
      <c r="A1832" t="s">
        <v>3562</v>
      </c>
      <c r="B1832" t="s">
        <v>3563</v>
      </c>
      <c r="C1832" t="s">
        <v>3604</v>
      </c>
      <c r="D1832" t="s">
        <v>3605</v>
      </c>
    </row>
    <row r="1833" spans="1:4" x14ac:dyDescent="0.3">
      <c r="A1833" t="s">
        <v>3562</v>
      </c>
      <c r="B1833" t="s">
        <v>3563</v>
      </c>
      <c r="C1833" t="s">
        <v>3606</v>
      </c>
      <c r="D1833" t="s">
        <v>3607</v>
      </c>
    </row>
    <row r="1834" spans="1:4" x14ac:dyDescent="0.3">
      <c r="A1834" t="s">
        <v>3562</v>
      </c>
      <c r="B1834" t="s">
        <v>3563</v>
      </c>
      <c r="C1834" t="s">
        <v>3608</v>
      </c>
      <c r="D1834" t="s">
        <v>3609</v>
      </c>
    </row>
    <row r="1835" spans="1:4" x14ac:dyDescent="0.3">
      <c r="A1835" t="s">
        <v>3562</v>
      </c>
      <c r="B1835" t="s">
        <v>3563</v>
      </c>
      <c r="C1835" t="s">
        <v>3610</v>
      </c>
      <c r="D1835" t="s">
        <v>3611</v>
      </c>
    </row>
    <row r="1836" spans="1:4" x14ac:dyDescent="0.3">
      <c r="A1836" t="s">
        <v>3562</v>
      </c>
      <c r="B1836" t="s">
        <v>3563</v>
      </c>
      <c r="C1836" t="s">
        <v>3612</v>
      </c>
      <c r="D1836" t="s">
        <v>3613</v>
      </c>
    </row>
    <row r="1837" spans="1:4" x14ac:dyDescent="0.3">
      <c r="A1837" t="s">
        <v>3562</v>
      </c>
      <c r="B1837" t="s">
        <v>3563</v>
      </c>
      <c r="C1837" t="s">
        <v>3614</v>
      </c>
      <c r="D1837" t="s">
        <v>3615</v>
      </c>
    </row>
    <row r="1838" spans="1:4" x14ac:dyDescent="0.3">
      <c r="A1838" t="s">
        <v>3562</v>
      </c>
      <c r="B1838" t="s">
        <v>3563</v>
      </c>
      <c r="C1838" t="s">
        <v>3616</v>
      </c>
      <c r="D1838" t="s">
        <v>3617</v>
      </c>
    </row>
    <row r="1839" spans="1:4" x14ac:dyDescent="0.3">
      <c r="A1839" t="s">
        <v>3562</v>
      </c>
      <c r="B1839" t="s">
        <v>3563</v>
      </c>
      <c r="C1839" t="s">
        <v>3618</v>
      </c>
      <c r="D1839" t="s">
        <v>3619</v>
      </c>
    </row>
    <row r="1840" spans="1:4" x14ac:dyDescent="0.3">
      <c r="A1840" t="s">
        <v>3562</v>
      </c>
      <c r="B1840" t="s">
        <v>3563</v>
      </c>
      <c r="C1840" t="s">
        <v>3620</v>
      </c>
      <c r="D1840" t="s">
        <v>3621</v>
      </c>
    </row>
    <row r="1841" spans="1:4" x14ac:dyDescent="0.3">
      <c r="A1841" t="s">
        <v>3562</v>
      </c>
      <c r="B1841" t="s">
        <v>3563</v>
      </c>
      <c r="C1841" t="s">
        <v>4196</v>
      </c>
      <c r="D1841" t="s">
        <v>4197</v>
      </c>
    </row>
    <row r="1842" spans="1:4" x14ac:dyDescent="0.3">
      <c r="A1842" t="s">
        <v>3562</v>
      </c>
      <c r="B1842" t="s">
        <v>3563</v>
      </c>
      <c r="C1842" t="s">
        <v>3622</v>
      </c>
      <c r="D1842" t="s">
        <v>3623</v>
      </c>
    </row>
    <row r="1843" spans="1:4" x14ac:dyDescent="0.3">
      <c r="A1843" t="s">
        <v>3562</v>
      </c>
      <c r="B1843" t="s">
        <v>3563</v>
      </c>
      <c r="C1843" t="s">
        <v>3624</v>
      </c>
      <c r="D1843" t="s">
        <v>3625</v>
      </c>
    </row>
    <row r="1844" spans="1:4" x14ac:dyDescent="0.3">
      <c r="A1844" t="s">
        <v>3562</v>
      </c>
      <c r="B1844" t="s">
        <v>3563</v>
      </c>
      <c r="C1844" t="s">
        <v>3626</v>
      </c>
      <c r="D1844" t="s">
        <v>3627</v>
      </c>
    </row>
    <row r="1845" spans="1:4" x14ac:dyDescent="0.3">
      <c r="A1845" t="s">
        <v>3562</v>
      </c>
      <c r="B1845" t="s">
        <v>3563</v>
      </c>
      <c r="C1845" t="s">
        <v>3628</v>
      </c>
      <c r="D1845" t="s">
        <v>3629</v>
      </c>
    </row>
    <row r="1846" spans="1:4" x14ac:dyDescent="0.3">
      <c r="A1846" t="s">
        <v>3562</v>
      </c>
      <c r="B1846" t="s">
        <v>3563</v>
      </c>
      <c r="C1846" t="s">
        <v>3630</v>
      </c>
      <c r="D1846" t="s">
        <v>3631</v>
      </c>
    </row>
    <row r="1847" spans="1:4" x14ac:dyDescent="0.3">
      <c r="A1847" t="s">
        <v>3562</v>
      </c>
      <c r="B1847" t="s">
        <v>3563</v>
      </c>
      <c r="C1847" t="s">
        <v>3632</v>
      </c>
      <c r="D1847" t="s">
        <v>3633</v>
      </c>
    </row>
    <row r="1848" spans="1:4" x14ac:dyDescent="0.3">
      <c r="A1848" t="s">
        <v>3562</v>
      </c>
      <c r="B1848" t="s">
        <v>3563</v>
      </c>
      <c r="C1848" t="s">
        <v>3634</v>
      </c>
      <c r="D1848" t="s">
        <v>3635</v>
      </c>
    </row>
    <row r="1849" spans="1:4" x14ac:dyDescent="0.3">
      <c r="A1849" t="s">
        <v>3562</v>
      </c>
      <c r="B1849" t="s">
        <v>3563</v>
      </c>
      <c r="C1849" t="s">
        <v>3636</v>
      </c>
      <c r="D1849" t="s">
        <v>3637</v>
      </c>
    </row>
    <row r="1850" spans="1:4" x14ac:dyDescent="0.3">
      <c r="A1850" t="s">
        <v>3562</v>
      </c>
      <c r="B1850" t="s">
        <v>3563</v>
      </c>
      <c r="C1850" t="s">
        <v>3638</v>
      </c>
      <c r="D1850" t="s">
        <v>3639</v>
      </c>
    </row>
    <row r="1851" spans="1:4" x14ac:dyDescent="0.3">
      <c r="A1851" t="s">
        <v>3562</v>
      </c>
      <c r="B1851" t="s">
        <v>3563</v>
      </c>
      <c r="C1851" t="s">
        <v>3640</v>
      </c>
      <c r="D1851" t="s">
        <v>3641</v>
      </c>
    </row>
    <row r="1852" spans="1:4" x14ac:dyDescent="0.3">
      <c r="A1852" t="s">
        <v>3562</v>
      </c>
      <c r="B1852" t="s">
        <v>3563</v>
      </c>
      <c r="C1852" t="s">
        <v>3642</v>
      </c>
      <c r="D1852" t="s">
        <v>3643</v>
      </c>
    </row>
    <row r="1853" spans="1:4" x14ac:dyDescent="0.3">
      <c r="A1853" t="s">
        <v>3562</v>
      </c>
      <c r="B1853" t="s">
        <v>3563</v>
      </c>
      <c r="C1853" t="s">
        <v>3644</v>
      </c>
      <c r="D1853" t="s">
        <v>3645</v>
      </c>
    </row>
    <row r="1854" spans="1:4" x14ac:dyDescent="0.3">
      <c r="A1854" t="s">
        <v>3562</v>
      </c>
      <c r="B1854" t="s">
        <v>3563</v>
      </c>
      <c r="C1854" t="s">
        <v>3646</v>
      </c>
      <c r="D1854" t="s">
        <v>3647</v>
      </c>
    </row>
    <row r="1855" spans="1:4" x14ac:dyDescent="0.3">
      <c r="A1855" t="s">
        <v>3562</v>
      </c>
      <c r="B1855" t="s">
        <v>3563</v>
      </c>
      <c r="C1855" t="s">
        <v>3648</v>
      </c>
      <c r="D1855" t="s">
        <v>3649</v>
      </c>
    </row>
    <row r="1856" spans="1:4" x14ac:dyDescent="0.3">
      <c r="A1856" t="s">
        <v>3562</v>
      </c>
      <c r="B1856" t="s">
        <v>3563</v>
      </c>
      <c r="C1856" t="s">
        <v>3650</v>
      </c>
      <c r="D1856" t="s">
        <v>3651</v>
      </c>
    </row>
    <row r="1857" spans="1:4" x14ac:dyDescent="0.3">
      <c r="A1857" t="s">
        <v>3562</v>
      </c>
      <c r="B1857" t="s">
        <v>3563</v>
      </c>
      <c r="C1857" t="s">
        <v>3652</v>
      </c>
      <c r="D1857" t="s">
        <v>3653</v>
      </c>
    </row>
    <row r="1858" spans="1:4" x14ac:dyDescent="0.3">
      <c r="A1858" t="s">
        <v>3562</v>
      </c>
      <c r="B1858" t="s">
        <v>3563</v>
      </c>
      <c r="C1858" t="s">
        <v>3654</v>
      </c>
      <c r="D1858" t="s">
        <v>3655</v>
      </c>
    </row>
    <row r="1859" spans="1:4" x14ac:dyDescent="0.3">
      <c r="A1859" t="s">
        <v>3562</v>
      </c>
      <c r="B1859" t="s">
        <v>3563</v>
      </c>
      <c r="C1859" t="s">
        <v>3656</v>
      </c>
      <c r="D1859" t="s">
        <v>3657</v>
      </c>
    </row>
    <row r="1860" spans="1:4" x14ac:dyDescent="0.3">
      <c r="A1860" t="s">
        <v>3562</v>
      </c>
      <c r="B1860" t="s">
        <v>3563</v>
      </c>
      <c r="C1860" t="s">
        <v>3658</v>
      </c>
      <c r="D1860" t="s">
        <v>3659</v>
      </c>
    </row>
    <row r="1861" spans="1:4" x14ac:dyDescent="0.3">
      <c r="A1861" t="s">
        <v>3562</v>
      </c>
      <c r="B1861" t="s">
        <v>3563</v>
      </c>
      <c r="C1861" t="s">
        <v>3660</v>
      </c>
      <c r="D1861" t="s">
        <v>3661</v>
      </c>
    </row>
    <row r="1862" spans="1:4" x14ac:dyDescent="0.3">
      <c r="A1862" t="s">
        <v>3562</v>
      </c>
      <c r="B1862" t="s">
        <v>3563</v>
      </c>
      <c r="C1862" t="s">
        <v>3662</v>
      </c>
      <c r="D1862" t="s">
        <v>3663</v>
      </c>
    </row>
    <row r="1863" spans="1:4" x14ac:dyDescent="0.3">
      <c r="A1863" t="s">
        <v>3562</v>
      </c>
      <c r="B1863" t="s">
        <v>3563</v>
      </c>
      <c r="C1863" t="s">
        <v>3664</v>
      </c>
      <c r="D1863" t="s">
        <v>1892</v>
      </c>
    </row>
    <row r="1864" spans="1:4" x14ac:dyDescent="0.3">
      <c r="A1864" t="s">
        <v>3562</v>
      </c>
      <c r="B1864" t="s">
        <v>3563</v>
      </c>
      <c r="C1864" t="s">
        <v>3665</v>
      </c>
      <c r="D1864" t="s">
        <v>3666</v>
      </c>
    </row>
    <row r="1865" spans="1:4" x14ac:dyDescent="0.3">
      <c r="A1865" t="s">
        <v>3667</v>
      </c>
      <c r="B1865" t="s">
        <v>3668</v>
      </c>
      <c r="C1865" t="s">
        <v>3670</v>
      </c>
      <c r="D1865" t="s">
        <v>4204</v>
      </c>
    </row>
    <row r="1866" spans="1:4" x14ac:dyDescent="0.3">
      <c r="A1866" t="s">
        <v>3667</v>
      </c>
      <c r="B1866" t="s">
        <v>3668</v>
      </c>
      <c r="C1866" t="s">
        <v>4230</v>
      </c>
      <c r="D1866" t="s">
        <v>4304</v>
      </c>
    </row>
    <row r="1867" spans="1:4" x14ac:dyDescent="0.3">
      <c r="A1867" t="s">
        <v>3667</v>
      </c>
      <c r="B1867" t="s">
        <v>3668</v>
      </c>
      <c r="C1867" t="s">
        <v>4233</v>
      </c>
      <c r="D1867" t="s">
        <v>4305</v>
      </c>
    </row>
    <row r="1868" spans="1:4" x14ac:dyDescent="0.3">
      <c r="A1868" t="s">
        <v>3667</v>
      </c>
      <c r="B1868" t="s">
        <v>3668</v>
      </c>
      <c r="C1868" t="s">
        <v>3671</v>
      </c>
      <c r="D1868" t="s">
        <v>4210</v>
      </c>
    </row>
    <row r="1869" spans="1:4" x14ac:dyDescent="0.3">
      <c r="A1869" t="s">
        <v>3667</v>
      </c>
      <c r="B1869" t="s">
        <v>3668</v>
      </c>
      <c r="C1869" t="s">
        <v>3672</v>
      </c>
      <c r="D1869" t="s">
        <v>4199</v>
      </c>
    </row>
    <row r="1870" spans="1:4" x14ac:dyDescent="0.3">
      <c r="A1870" t="s">
        <v>3667</v>
      </c>
      <c r="B1870" t="s">
        <v>3668</v>
      </c>
      <c r="C1870" t="s">
        <v>3673</v>
      </c>
      <c r="D1870" t="s">
        <v>3674</v>
      </c>
    </row>
    <row r="1871" spans="1:4" x14ac:dyDescent="0.3">
      <c r="A1871" t="s">
        <v>3667</v>
      </c>
      <c r="B1871" t="s">
        <v>3668</v>
      </c>
      <c r="C1871" t="s">
        <v>3669</v>
      </c>
      <c r="D1871" t="s">
        <v>4203</v>
      </c>
    </row>
    <row r="1872" spans="1:4" x14ac:dyDescent="0.3">
      <c r="A1872" t="s">
        <v>3667</v>
      </c>
      <c r="B1872" t="s">
        <v>3668</v>
      </c>
      <c r="C1872" t="s">
        <v>3675</v>
      </c>
      <c r="D1872" t="s">
        <v>3676</v>
      </c>
    </row>
    <row r="1873" spans="1:4" x14ac:dyDescent="0.3">
      <c r="A1873" t="s">
        <v>3667</v>
      </c>
      <c r="B1873" t="s">
        <v>3668</v>
      </c>
      <c r="C1873" t="s">
        <v>3677</v>
      </c>
      <c r="D1873" t="s">
        <v>3678</v>
      </c>
    </row>
    <row r="1874" spans="1:4" x14ac:dyDescent="0.3">
      <c r="A1874" t="s">
        <v>3667</v>
      </c>
      <c r="B1874" t="s">
        <v>3668</v>
      </c>
      <c r="C1874" t="s">
        <v>3679</v>
      </c>
      <c r="D1874" t="s">
        <v>4207</v>
      </c>
    </row>
    <row r="1875" spans="1:4" x14ac:dyDescent="0.3">
      <c r="A1875" t="s">
        <v>3667</v>
      </c>
      <c r="B1875" t="s">
        <v>3668</v>
      </c>
      <c r="C1875" t="s">
        <v>3680</v>
      </c>
      <c r="D1875" t="s">
        <v>4202</v>
      </c>
    </row>
    <row r="1876" spans="1:4" x14ac:dyDescent="0.3">
      <c r="A1876" t="s">
        <v>3667</v>
      </c>
      <c r="B1876" t="s">
        <v>3668</v>
      </c>
      <c r="C1876" t="s">
        <v>3681</v>
      </c>
      <c r="D1876" t="s">
        <v>4198</v>
      </c>
    </row>
    <row r="1877" spans="1:4" x14ac:dyDescent="0.3">
      <c r="A1877" t="s">
        <v>3667</v>
      </c>
      <c r="B1877" t="s">
        <v>3668</v>
      </c>
      <c r="C1877" t="s">
        <v>3682</v>
      </c>
      <c r="D1877" t="s">
        <v>4200</v>
      </c>
    </row>
    <row r="1878" spans="1:4" x14ac:dyDescent="0.3">
      <c r="A1878" t="s">
        <v>3667</v>
      </c>
      <c r="B1878" t="s">
        <v>3668</v>
      </c>
      <c r="C1878" t="s">
        <v>3683</v>
      </c>
      <c r="D1878" t="s">
        <v>4201</v>
      </c>
    </row>
    <row r="1879" spans="1:4" x14ac:dyDescent="0.3">
      <c r="A1879" t="s">
        <v>3667</v>
      </c>
      <c r="B1879" t="s">
        <v>3668</v>
      </c>
      <c r="C1879" t="s">
        <v>3685</v>
      </c>
      <c r="D1879" t="s">
        <v>4206</v>
      </c>
    </row>
    <row r="1880" spans="1:4" x14ac:dyDescent="0.3">
      <c r="A1880" t="s">
        <v>3667</v>
      </c>
      <c r="B1880" t="s">
        <v>3668</v>
      </c>
      <c r="C1880" t="s">
        <v>3686</v>
      </c>
      <c r="D1880" t="s">
        <v>4209</v>
      </c>
    </row>
    <row r="1881" spans="1:4" x14ac:dyDescent="0.3">
      <c r="A1881" t="s">
        <v>3667</v>
      </c>
      <c r="B1881" t="s">
        <v>3668</v>
      </c>
      <c r="C1881" t="s">
        <v>4229</v>
      </c>
      <c r="D1881" t="s">
        <v>4306</v>
      </c>
    </row>
    <row r="1882" spans="1:4" x14ac:dyDescent="0.3">
      <c r="A1882" t="s">
        <v>3667</v>
      </c>
      <c r="B1882" t="s">
        <v>3668</v>
      </c>
      <c r="C1882" t="s">
        <v>4208</v>
      </c>
      <c r="D1882" t="s">
        <v>4307</v>
      </c>
    </row>
    <row r="1883" spans="1:4" x14ac:dyDescent="0.3">
      <c r="A1883" t="s">
        <v>3667</v>
      </c>
      <c r="B1883" t="s">
        <v>3668</v>
      </c>
      <c r="C1883" t="s">
        <v>3684</v>
      </c>
      <c r="D1883" t="s">
        <v>4205</v>
      </c>
    </row>
    <row r="1884" spans="1:4" x14ac:dyDescent="0.3">
      <c r="A1884" t="s">
        <v>3687</v>
      </c>
      <c r="B1884" t="s">
        <v>3688</v>
      </c>
      <c r="C1884" t="s">
        <v>3689</v>
      </c>
      <c r="D1884" t="s">
        <v>3690</v>
      </c>
    </row>
    <row r="1885" spans="1:4" x14ac:dyDescent="0.3">
      <c r="A1885" t="s">
        <v>3687</v>
      </c>
      <c r="B1885" t="s">
        <v>3688</v>
      </c>
      <c r="C1885" t="s">
        <v>3691</v>
      </c>
      <c r="D1885" t="s">
        <v>3692</v>
      </c>
    </row>
    <row r="1886" spans="1:4" x14ac:dyDescent="0.3">
      <c r="A1886" t="s">
        <v>3687</v>
      </c>
      <c r="B1886" t="s">
        <v>3688</v>
      </c>
      <c r="C1886" t="s">
        <v>3693</v>
      </c>
      <c r="D1886" t="s">
        <v>3694</v>
      </c>
    </row>
    <row r="1887" spans="1:4" x14ac:dyDescent="0.3">
      <c r="A1887" t="s">
        <v>3687</v>
      </c>
      <c r="B1887" t="s">
        <v>3688</v>
      </c>
      <c r="C1887" t="s">
        <v>3695</v>
      </c>
      <c r="D1887" t="s">
        <v>3696</v>
      </c>
    </row>
    <row r="1888" spans="1:4" x14ac:dyDescent="0.3">
      <c r="A1888" t="s">
        <v>3687</v>
      </c>
      <c r="B1888" t="s">
        <v>3688</v>
      </c>
      <c r="C1888" t="s">
        <v>3697</v>
      </c>
      <c r="D1888" t="s">
        <v>3698</v>
      </c>
    </row>
    <row r="1889" spans="1:4" x14ac:dyDescent="0.3">
      <c r="A1889" t="s">
        <v>3687</v>
      </c>
      <c r="B1889" t="s">
        <v>3688</v>
      </c>
      <c r="C1889" t="s">
        <v>3699</v>
      </c>
      <c r="D1889" t="s">
        <v>3700</v>
      </c>
    </row>
    <row r="1890" spans="1:4" x14ac:dyDescent="0.3">
      <c r="A1890" t="s">
        <v>3687</v>
      </c>
      <c r="B1890" t="s">
        <v>3688</v>
      </c>
      <c r="C1890" t="s">
        <v>3701</v>
      </c>
      <c r="D1890" t="s">
        <v>3702</v>
      </c>
    </row>
    <row r="1891" spans="1:4" x14ac:dyDescent="0.3">
      <c r="A1891" t="s">
        <v>3687</v>
      </c>
      <c r="B1891" t="s">
        <v>3688</v>
      </c>
      <c r="C1891" t="s">
        <v>3703</v>
      </c>
      <c r="D1891" t="s">
        <v>3704</v>
      </c>
    </row>
    <row r="1892" spans="1:4" x14ac:dyDescent="0.3">
      <c r="A1892" t="s">
        <v>3687</v>
      </c>
      <c r="B1892" t="s">
        <v>3688</v>
      </c>
      <c r="C1892" t="s">
        <v>3705</v>
      </c>
      <c r="D1892" t="s">
        <v>3706</v>
      </c>
    </row>
    <row r="1893" spans="1:4" x14ac:dyDescent="0.3">
      <c r="A1893" t="s">
        <v>3687</v>
      </c>
      <c r="B1893" t="s">
        <v>3688</v>
      </c>
      <c r="C1893" t="s">
        <v>3707</v>
      </c>
      <c r="D1893" t="s">
        <v>3708</v>
      </c>
    </row>
    <row r="1894" spans="1:4" x14ac:dyDescent="0.3">
      <c r="A1894" t="s">
        <v>3687</v>
      </c>
      <c r="B1894" t="s">
        <v>3688</v>
      </c>
      <c r="C1894" t="s">
        <v>3709</v>
      </c>
      <c r="D1894" t="s">
        <v>3710</v>
      </c>
    </row>
    <row r="1895" spans="1:4" x14ac:dyDescent="0.3">
      <c r="A1895" t="s">
        <v>3687</v>
      </c>
      <c r="B1895" t="s">
        <v>3688</v>
      </c>
      <c r="C1895" t="s">
        <v>3711</v>
      </c>
      <c r="D1895" t="s">
        <v>3712</v>
      </c>
    </row>
    <row r="1896" spans="1:4" x14ac:dyDescent="0.3">
      <c r="A1896" t="s">
        <v>3687</v>
      </c>
      <c r="B1896" t="s">
        <v>3688</v>
      </c>
      <c r="C1896" t="s">
        <v>3713</v>
      </c>
      <c r="D1896" t="s">
        <v>3714</v>
      </c>
    </row>
    <row r="1897" spans="1:4" x14ac:dyDescent="0.3">
      <c r="A1897" t="s">
        <v>3687</v>
      </c>
      <c r="B1897" t="s">
        <v>3688</v>
      </c>
      <c r="C1897" t="s">
        <v>3715</v>
      </c>
      <c r="D1897" t="s">
        <v>3716</v>
      </c>
    </row>
    <row r="1898" spans="1:4" x14ac:dyDescent="0.3">
      <c r="A1898" t="s">
        <v>3687</v>
      </c>
      <c r="B1898" t="s">
        <v>3688</v>
      </c>
      <c r="C1898" t="s">
        <v>3717</v>
      </c>
      <c r="D1898" t="s">
        <v>3718</v>
      </c>
    </row>
    <row r="1899" spans="1:4" x14ac:dyDescent="0.3">
      <c r="A1899" t="s">
        <v>3687</v>
      </c>
      <c r="B1899" t="s">
        <v>3688</v>
      </c>
      <c r="C1899" t="s">
        <v>3719</v>
      </c>
      <c r="D1899" t="s">
        <v>3720</v>
      </c>
    </row>
    <row r="1900" spans="1:4" x14ac:dyDescent="0.3">
      <c r="A1900" t="s">
        <v>3687</v>
      </c>
      <c r="B1900" t="s">
        <v>3688</v>
      </c>
      <c r="C1900" t="s">
        <v>4211</v>
      </c>
      <c r="D1900" t="s">
        <v>4212</v>
      </c>
    </row>
    <row r="1901" spans="1:4" x14ac:dyDescent="0.3">
      <c r="A1901" t="s">
        <v>3687</v>
      </c>
      <c r="B1901" t="s">
        <v>3688</v>
      </c>
      <c r="C1901" t="s">
        <v>3721</v>
      </c>
      <c r="D1901" t="s">
        <v>3722</v>
      </c>
    </row>
    <row r="1902" spans="1:4" x14ac:dyDescent="0.3">
      <c r="A1902" t="s">
        <v>3687</v>
      </c>
      <c r="B1902" t="s">
        <v>3688</v>
      </c>
      <c r="C1902" t="s">
        <v>3723</v>
      </c>
      <c r="D1902" t="s">
        <v>3724</v>
      </c>
    </row>
    <row r="1903" spans="1:4" x14ac:dyDescent="0.3">
      <c r="A1903" t="s">
        <v>3687</v>
      </c>
      <c r="B1903" t="s">
        <v>3688</v>
      </c>
      <c r="C1903" t="s">
        <v>3725</v>
      </c>
      <c r="D1903" t="s">
        <v>3726</v>
      </c>
    </row>
    <row r="1904" spans="1:4" x14ac:dyDescent="0.3">
      <c r="A1904" t="s">
        <v>3687</v>
      </c>
      <c r="B1904" t="s">
        <v>3688</v>
      </c>
      <c r="C1904" t="s">
        <v>3727</v>
      </c>
      <c r="D1904" t="s">
        <v>3728</v>
      </c>
    </row>
    <row r="1905" spans="1:4" x14ac:dyDescent="0.3">
      <c r="A1905" t="s">
        <v>1928</v>
      </c>
      <c r="B1905" t="s">
        <v>3729</v>
      </c>
      <c r="C1905" t="s">
        <v>3730</v>
      </c>
      <c r="D1905" t="s">
        <v>4213</v>
      </c>
    </row>
    <row r="1906" spans="1:4" x14ac:dyDescent="0.3">
      <c r="A1906" t="s">
        <v>1928</v>
      </c>
      <c r="B1906" t="s">
        <v>3729</v>
      </c>
      <c r="C1906" t="s">
        <v>3731</v>
      </c>
      <c r="D1906" t="s">
        <v>3732</v>
      </c>
    </row>
    <row r="1907" spans="1:4" x14ac:dyDescent="0.3">
      <c r="A1907" t="s">
        <v>1928</v>
      </c>
      <c r="B1907" t="s">
        <v>3729</v>
      </c>
      <c r="C1907" t="s">
        <v>3733</v>
      </c>
      <c r="D1907" t="s">
        <v>3734</v>
      </c>
    </row>
    <row r="1908" spans="1:4" x14ac:dyDescent="0.3">
      <c r="A1908" t="s">
        <v>1928</v>
      </c>
      <c r="B1908" t="s">
        <v>3729</v>
      </c>
      <c r="C1908" t="s">
        <v>3735</v>
      </c>
      <c r="D1908" t="s">
        <v>3736</v>
      </c>
    </row>
    <row r="1909" spans="1:4" x14ac:dyDescent="0.3">
      <c r="A1909" t="s">
        <v>1928</v>
      </c>
      <c r="B1909" t="s">
        <v>3729</v>
      </c>
      <c r="C1909" t="s">
        <v>3737</v>
      </c>
      <c r="D1909" t="s">
        <v>3738</v>
      </c>
    </row>
    <row r="1910" spans="1:4" x14ac:dyDescent="0.3">
      <c r="A1910" t="s">
        <v>1928</v>
      </c>
      <c r="B1910" t="s">
        <v>3729</v>
      </c>
      <c r="C1910" t="s">
        <v>3739</v>
      </c>
      <c r="D1910" t="s">
        <v>3740</v>
      </c>
    </row>
    <row r="1911" spans="1:4" x14ac:dyDescent="0.3">
      <c r="A1911" t="s">
        <v>1928</v>
      </c>
      <c r="B1911" t="s">
        <v>3729</v>
      </c>
      <c r="C1911" t="s">
        <v>3741</v>
      </c>
      <c r="D1911" t="s">
        <v>3742</v>
      </c>
    </row>
    <row r="1912" spans="1:4" x14ac:dyDescent="0.3">
      <c r="A1912" t="s">
        <v>1928</v>
      </c>
      <c r="B1912" t="s">
        <v>3729</v>
      </c>
      <c r="C1912" t="s">
        <v>3743</v>
      </c>
      <c r="D1912" t="s">
        <v>3744</v>
      </c>
    </row>
    <row r="1913" spans="1:4" x14ac:dyDescent="0.3">
      <c r="A1913" t="s">
        <v>1928</v>
      </c>
      <c r="B1913" t="s">
        <v>3729</v>
      </c>
      <c r="C1913" t="s">
        <v>3745</v>
      </c>
      <c r="D1913" t="s">
        <v>3746</v>
      </c>
    </row>
    <row r="1914" spans="1:4" x14ac:dyDescent="0.3">
      <c r="A1914" t="s">
        <v>1928</v>
      </c>
      <c r="B1914" t="s">
        <v>3729</v>
      </c>
      <c r="C1914" t="s">
        <v>3747</v>
      </c>
      <c r="D1914" t="s">
        <v>3748</v>
      </c>
    </row>
    <row r="1915" spans="1:4" x14ac:dyDescent="0.3">
      <c r="A1915" t="s">
        <v>1928</v>
      </c>
      <c r="B1915" t="s">
        <v>3729</v>
      </c>
      <c r="C1915" t="s">
        <v>3749</v>
      </c>
      <c r="D1915" t="s">
        <v>3750</v>
      </c>
    </row>
    <row r="1916" spans="1:4" x14ac:dyDescent="0.3">
      <c r="A1916" t="s">
        <v>1928</v>
      </c>
      <c r="B1916" t="s">
        <v>3729</v>
      </c>
      <c r="C1916" t="s">
        <v>3751</v>
      </c>
      <c r="D1916" t="s">
        <v>3752</v>
      </c>
    </row>
    <row r="1917" spans="1:4" x14ac:dyDescent="0.3">
      <c r="A1917" t="s">
        <v>1928</v>
      </c>
      <c r="B1917" t="s">
        <v>3729</v>
      </c>
      <c r="C1917" t="s">
        <v>3753</v>
      </c>
      <c r="D1917" t="s">
        <v>3754</v>
      </c>
    </row>
    <row r="1918" spans="1:4" x14ac:dyDescent="0.3">
      <c r="A1918" t="s">
        <v>1928</v>
      </c>
      <c r="B1918" t="s">
        <v>3729</v>
      </c>
      <c r="C1918" t="s">
        <v>3755</v>
      </c>
      <c r="D1918" t="s">
        <v>3756</v>
      </c>
    </row>
    <row r="1919" spans="1:4" x14ac:dyDescent="0.3">
      <c r="A1919" t="s">
        <v>1928</v>
      </c>
      <c r="B1919" t="s">
        <v>3729</v>
      </c>
      <c r="C1919" t="s">
        <v>3757</v>
      </c>
      <c r="D1919" t="s">
        <v>3758</v>
      </c>
    </row>
    <row r="1920" spans="1:4" x14ac:dyDescent="0.3">
      <c r="A1920" t="s">
        <v>1928</v>
      </c>
      <c r="B1920" t="s">
        <v>3729</v>
      </c>
      <c r="C1920" t="s">
        <v>3759</v>
      </c>
      <c r="D1920" t="s">
        <v>3760</v>
      </c>
    </row>
    <row r="1921" spans="1:4" x14ac:dyDescent="0.3">
      <c r="A1921" t="s">
        <v>1928</v>
      </c>
      <c r="B1921" t="s">
        <v>3729</v>
      </c>
      <c r="C1921" t="s">
        <v>3761</v>
      </c>
      <c r="D1921" t="s">
        <v>3762</v>
      </c>
    </row>
    <row r="1922" spans="1:4" x14ac:dyDescent="0.3">
      <c r="A1922" t="s">
        <v>1928</v>
      </c>
      <c r="B1922" t="s">
        <v>3729</v>
      </c>
      <c r="C1922" t="s">
        <v>3763</v>
      </c>
      <c r="D1922" t="s">
        <v>3764</v>
      </c>
    </row>
    <row r="1923" spans="1:4" x14ac:dyDescent="0.3">
      <c r="A1923" t="s">
        <v>2591</v>
      </c>
      <c r="B1923" t="s">
        <v>3765</v>
      </c>
      <c r="C1923" t="s">
        <v>3766</v>
      </c>
      <c r="D1923" t="s">
        <v>3767</v>
      </c>
    </row>
    <row r="1924" spans="1:4" x14ac:dyDescent="0.3">
      <c r="A1924" t="s">
        <v>2591</v>
      </c>
      <c r="B1924" t="s">
        <v>3765</v>
      </c>
      <c r="C1924" t="s">
        <v>3768</v>
      </c>
      <c r="D1924" t="s">
        <v>3769</v>
      </c>
    </row>
    <row r="1925" spans="1:4" x14ac:dyDescent="0.3">
      <c r="A1925" t="s">
        <v>2591</v>
      </c>
      <c r="B1925" t="s">
        <v>3765</v>
      </c>
      <c r="C1925" t="s">
        <v>3770</v>
      </c>
      <c r="D1925" t="s">
        <v>3771</v>
      </c>
    </row>
    <row r="1926" spans="1:4" x14ac:dyDescent="0.3">
      <c r="A1926" t="s">
        <v>2591</v>
      </c>
      <c r="B1926" t="s">
        <v>3765</v>
      </c>
      <c r="C1926" t="s">
        <v>3772</v>
      </c>
      <c r="D1926" t="s">
        <v>3773</v>
      </c>
    </row>
    <row r="1927" spans="1:4" x14ac:dyDescent="0.3">
      <c r="A1927" t="s">
        <v>2591</v>
      </c>
      <c r="B1927" t="s">
        <v>3765</v>
      </c>
      <c r="C1927" t="s">
        <v>3774</v>
      </c>
      <c r="D1927" t="s">
        <v>3775</v>
      </c>
    </row>
    <row r="1928" spans="1:4" x14ac:dyDescent="0.3">
      <c r="A1928" t="s">
        <v>2591</v>
      </c>
      <c r="B1928" t="s">
        <v>3765</v>
      </c>
      <c r="C1928" t="s">
        <v>3776</v>
      </c>
      <c r="D1928" t="s">
        <v>3777</v>
      </c>
    </row>
    <row r="1929" spans="1:4" x14ac:dyDescent="0.3">
      <c r="A1929" t="s">
        <v>2591</v>
      </c>
      <c r="B1929" t="s">
        <v>3765</v>
      </c>
      <c r="C1929" t="s">
        <v>3778</v>
      </c>
      <c r="D1929" t="s">
        <v>1158</v>
      </c>
    </row>
    <row r="1930" spans="1:4" x14ac:dyDescent="0.3">
      <c r="A1930" t="s">
        <v>2591</v>
      </c>
      <c r="B1930" t="s">
        <v>3765</v>
      </c>
      <c r="C1930" t="s">
        <v>3779</v>
      </c>
      <c r="D1930" t="s">
        <v>3780</v>
      </c>
    </row>
    <row r="1931" spans="1:4" x14ac:dyDescent="0.3">
      <c r="A1931" t="s">
        <v>2591</v>
      </c>
      <c r="B1931" t="s">
        <v>3765</v>
      </c>
      <c r="C1931" t="s">
        <v>3781</v>
      </c>
      <c r="D1931" t="s">
        <v>3782</v>
      </c>
    </row>
    <row r="1932" spans="1:4" x14ac:dyDescent="0.3">
      <c r="A1932" t="s">
        <v>2591</v>
      </c>
      <c r="B1932" t="s">
        <v>3765</v>
      </c>
      <c r="C1932" t="s">
        <v>3783</v>
      </c>
      <c r="D1932" t="s">
        <v>3784</v>
      </c>
    </row>
    <row r="1933" spans="1:4" x14ac:dyDescent="0.3">
      <c r="A1933" t="s">
        <v>2591</v>
      </c>
      <c r="B1933" t="s">
        <v>3765</v>
      </c>
      <c r="C1933" t="s">
        <v>3785</v>
      </c>
      <c r="D1933" t="s">
        <v>403</v>
      </c>
    </row>
    <row r="1934" spans="1:4" x14ac:dyDescent="0.3">
      <c r="A1934" t="s">
        <v>2591</v>
      </c>
      <c r="B1934" t="s">
        <v>3765</v>
      </c>
      <c r="C1934" t="s">
        <v>3786</v>
      </c>
      <c r="D1934" t="s">
        <v>3787</v>
      </c>
    </row>
    <row r="1935" spans="1:4" x14ac:dyDescent="0.3">
      <c r="A1935" t="s">
        <v>3788</v>
      </c>
      <c r="B1935" t="s">
        <v>4214</v>
      </c>
      <c r="C1935" t="s">
        <v>3789</v>
      </c>
      <c r="D1935" t="s">
        <v>3790</v>
      </c>
    </row>
    <row r="1936" spans="1:4" x14ac:dyDescent="0.3">
      <c r="A1936" t="s">
        <v>3788</v>
      </c>
      <c r="B1936" t="s">
        <v>4214</v>
      </c>
      <c r="C1936" t="s">
        <v>3791</v>
      </c>
      <c r="D1936" t="s">
        <v>3792</v>
      </c>
    </row>
    <row r="1937" spans="1:4" x14ac:dyDescent="0.3">
      <c r="A1937" t="s">
        <v>3788</v>
      </c>
      <c r="B1937" t="s">
        <v>4214</v>
      </c>
      <c r="C1937" t="s">
        <v>3793</v>
      </c>
      <c r="D1937" t="s">
        <v>3794</v>
      </c>
    </row>
    <row r="1938" spans="1:4" x14ac:dyDescent="0.3">
      <c r="A1938" t="s">
        <v>3788</v>
      </c>
      <c r="B1938" t="s">
        <v>4214</v>
      </c>
      <c r="C1938" t="s">
        <v>3795</v>
      </c>
      <c r="D1938" t="s">
        <v>3796</v>
      </c>
    </row>
    <row r="1939" spans="1:4" x14ac:dyDescent="0.3">
      <c r="A1939" t="s">
        <v>3788</v>
      </c>
      <c r="B1939" t="s">
        <v>4214</v>
      </c>
      <c r="C1939" t="s">
        <v>3797</v>
      </c>
      <c r="D1939" t="s">
        <v>3798</v>
      </c>
    </row>
    <row r="1940" spans="1:4" x14ac:dyDescent="0.3">
      <c r="A1940" t="s">
        <v>3788</v>
      </c>
      <c r="B1940" t="s">
        <v>4214</v>
      </c>
      <c r="C1940" t="s">
        <v>3799</v>
      </c>
      <c r="D1940" t="s">
        <v>3800</v>
      </c>
    </row>
    <row r="1941" spans="1:4" x14ac:dyDescent="0.3">
      <c r="A1941" t="s">
        <v>3788</v>
      </c>
      <c r="B1941" t="s">
        <v>4214</v>
      </c>
      <c r="C1941" t="s">
        <v>3801</v>
      </c>
      <c r="D1941" t="s">
        <v>3802</v>
      </c>
    </row>
    <row r="1942" spans="1:4" x14ac:dyDescent="0.3">
      <c r="A1942" t="s">
        <v>3788</v>
      </c>
      <c r="B1942" t="s">
        <v>4214</v>
      </c>
      <c r="C1942" t="s">
        <v>3803</v>
      </c>
      <c r="D1942" t="s">
        <v>3804</v>
      </c>
    </row>
    <row r="1943" spans="1:4" x14ac:dyDescent="0.3">
      <c r="A1943" t="s">
        <v>3788</v>
      </c>
      <c r="B1943" t="s">
        <v>4214</v>
      </c>
      <c r="C1943" t="s">
        <v>3805</v>
      </c>
      <c r="D1943" t="s">
        <v>3806</v>
      </c>
    </row>
    <row r="1944" spans="1:4" x14ac:dyDescent="0.3">
      <c r="A1944" t="s">
        <v>3788</v>
      </c>
      <c r="B1944" t="s">
        <v>4214</v>
      </c>
      <c r="C1944" t="s">
        <v>3807</v>
      </c>
      <c r="D1944" t="s">
        <v>3808</v>
      </c>
    </row>
    <row r="1945" spans="1:4" x14ac:dyDescent="0.3">
      <c r="A1945" t="s">
        <v>3788</v>
      </c>
      <c r="B1945" t="s">
        <v>4214</v>
      </c>
      <c r="C1945" t="s">
        <v>3809</v>
      </c>
      <c r="D1945" t="s">
        <v>3810</v>
      </c>
    </row>
    <row r="1946" spans="1:4" x14ac:dyDescent="0.3">
      <c r="A1946" t="s">
        <v>3788</v>
      </c>
      <c r="B1946" t="s">
        <v>4214</v>
      </c>
      <c r="C1946" t="s">
        <v>3811</v>
      </c>
      <c r="D1946" t="s">
        <v>3812</v>
      </c>
    </row>
    <row r="1947" spans="1:4" x14ac:dyDescent="0.3">
      <c r="A1947" t="s">
        <v>3788</v>
      </c>
      <c r="B1947" t="s">
        <v>4214</v>
      </c>
      <c r="C1947" t="s">
        <v>3813</v>
      </c>
      <c r="D1947" t="s">
        <v>3814</v>
      </c>
    </row>
    <row r="1948" spans="1:4" x14ac:dyDescent="0.3">
      <c r="A1948" t="s">
        <v>3788</v>
      </c>
      <c r="B1948" t="s">
        <v>4214</v>
      </c>
      <c r="C1948" t="s">
        <v>3815</v>
      </c>
      <c r="D1948" t="s">
        <v>3816</v>
      </c>
    </row>
    <row r="1949" spans="1:4" x14ac:dyDescent="0.3">
      <c r="A1949" t="s">
        <v>3788</v>
      </c>
      <c r="B1949" t="s">
        <v>4214</v>
      </c>
      <c r="C1949" t="s">
        <v>3817</v>
      </c>
      <c r="D1949" t="s">
        <v>3818</v>
      </c>
    </row>
    <row r="1950" spans="1:4" x14ac:dyDescent="0.3">
      <c r="A1950" t="s">
        <v>3788</v>
      </c>
      <c r="B1950" t="s">
        <v>4214</v>
      </c>
      <c r="C1950" t="s">
        <v>3819</v>
      </c>
      <c r="D1950" t="s">
        <v>3820</v>
      </c>
    </row>
    <row r="1951" spans="1:4" x14ac:dyDescent="0.3">
      <c r="A1951" t="s">
        <v>3788</v>
      </c>
      <c r="B1951" t="s">
        <v>4214</v>
      </c>
      <c r="C1951" t="s">
        <v>3821</v>
      </c>
      <c r="D1951" t="s">
        <v>3822</v>
      </c>
    </row>
    <row r="1952" spans="1:4" x14ac:dyDescent="0.3">
      <c r="A1952" t="s">
        <v>3788</v>
      </c>
      <c r="B1952" t="s">
        <v>4214</v>
      </c>
      <c r="C1952" t="s">
        <v>3823</v>
      </c>
      <c r="D1952" t="s">
        <v>3824</v>
      </c>
    </row>
    <row r="1953" spans="1:4" x14ac:dyDescent="0.3">
      <c r="A1953" t="s">
        <v>3788</v>
      </c>
      <c r="B1953" t="s">
        <v>4214</v>
      </c>
      <c r="C1953" t="s">
        <v>3825</v>
      </c>
      <c r="D1953" t="s">
        <v>3826</v>
      </c>
    </row>
    <row r="1954" spans="1:4" x14ac:dyDescent="0.3">
      <c r="A1954" t="s">
        <v>3827</v>
      </c>
      <c r="B1954" t="s">
        <v>3828</v>
      </c>
      <c r="C1954" t="s">
        <v>3829</v>
      </c>
      <c r="D1954" t="s">
        <v>3830</v>
      </c>
    </row>
    <row r="1955" spans="1:4" x14ac:dyDescent="0.3">
      <c r="A1955" t="s">
        <v>3827</v>
      </c>
      <c r="B1955" t="s">
        <v>3828</v>
      </c>
      <c r="C1955" t="s">
        <v>3831</v>
      </c>
      <c r="D1955" t="s">
        <v>3832</v>
      </c>
    </row>
    <row r="1956" spans="1:4" x14ac:dyDescent="0.3">
      <c r="A1956" t="s">
        <v>3827</v>
      </c>
      <c r="B1956" t="s">
        <v>3828</v>
      </c>
      <c r="C1956" t="s">
        <v>3833</v>
      </c>
      <c r="D1956" t="s">
        <v>3834</v>
      </c>
    </row>
    <row r="1957" spans="1:4" x14ac:dyDescent="0.3">
      <c r="A1957" t="s">
        <v>3827</v>
      </c>
      <c r="B1957" t="s">
        <v>3828</v>
      </c>
      <c r="C1957" t="s">
        <v>3835</v>
      </c>
      <c r="D1957" t="s">
        <v>3836</v>
      </c>
    </row>
    <row r="1958" spans="1:4" x14ac:dyDescent="0.3">
      <c r="A1958" t="s">
        <v>3827</v>
      </c>
      <c r="B1958" t="s">
        <v>3828</v>
      </c>
      <c r="C1958" t="s">
        <v>3837</v>
      </c>
      <c r="D1958" t="s">
        <v>3838</v>
      </c>
    </row>
    <row r="1959" spans="1:4" x14ac:dyDescent="0.3">
      <c r="A1959" t="s">
        <v>3827</v>
      </c>
      <c r="B1959" t="s">
        <v>3828</v>
      </c>
      <c r="C1959" t="s">
        <v>3839</v>
      </c>
      <c r="D1959" t="s">
        <v>3840</v>
      </c>
    </row>
    <row r="1960" spans="1:4" x14ac:dyDescent="0.3">
      <c r="A1960" t="s">
        <v>3827</v>
      </c>
      <c r="B1960" t="s">
        <v>3828</v>
      </c>
      <c r="C1960" t="s">
        <v>3841</v>
      </c>
      <c r="D1960" t="s">
        <v>3842</v>
      </c>
    </row>
    <row r="1961" spans="1:4" x14ac:dyDescent="0.3">
      <c r="A1961" t="s">
        <v>3827</v>
      </c>
      <c r="B1961" t="s">
        <v>3828</v>
      </c>
      <c r="C1961" t="s">
        <v>3843</v>
      </c>
      <c r="D1961" t="s">
        <v>3844</v>
      </c>
    </row>
    <row r="1962" spans="1:4" x14ac:dyDescent="0.3">
      <c r="A1962" t="s">
        <v>3827</v>
      </c>
      <c r="B1962" t="s">
        <v>3828</v>
      </c>
      <c r="C1962" t="s">
        <v>3845</v>
      </c>
      <c r="D1962" t="s">
        <v>3846</v>
      </c>
    </row>
    <row r="1963" spans="1:4" x14ac:dyDescent="0.3">
      <c r="A1963" t="s">
        <v>3827</v>
      </c>
      <c r="B1963" t="s">
        <v>3828</v>
      </c>
      <c r="C1963" t="s">
        <v>3847</v>
      </c>
      <c r="D1963" t="s">
        <v>3848</v>
      </c>
    </row>
    <row r="1964" spans="1:4" x14ac:dyDescent="0.3">
      <c r="A1964" t="s">
        <v>3827</v>
      </c>
      <c r="B1964" t="s">
        <v>3828</v>
      </c>
      <c r="C1964" t="s">
        <v>3849</v>
      </c>
      <c r="D1964" t="s">
        <v>3850</v>
      </c>
    </row>
    <row r="1965" spans="1:4" x14ac:dyDescent="0.3">
      <c r="A1965" t="s">
        <v>3827</v>
      </c>
      <c r="B1965" t="s">
        <v>3828</v>
      </c>
      <c r="C1965" t="s">
        <v>3851</v>
      </c>
      <c r="D1965" t="s">
        <v>3852</v>
      </c>
    </row>
    <row r="1966" spans="1:4" x14ac:dyDescent="0.3">
      <c r="A1966" t="s">
        <v>3827</v>
      </c>
      <c r="B1966" t="s">
        <v>3828</v>
      </c>
      <c r="C1966" t="s">
        <v>3853</v>
      </c>
      <c r="D1966" t="s">
        <v>3854</v>
      </c>
    </row>
    <row r="1967" spans="1:4" x14ac:dyDescent="0.3">
      <c r="A1967" t="s">
        <v>3827</v>
      </c>
      <c r="B1967" t="s">
        <v>3828</v>
      </c>
      <c r="C1967" t="s">
        <v>3855</v>
      </c>
      <c r="D1967" t="s">
        <v>3856</v>
      </c>
    </row>
    <row r="1968" spans="1:4" x14ac:dyDescent="0.3">
      <c r="A1968" t="s">
        <v>3827</v>
      </c>
      <c r="B1968" t="s">
        <v>3828</v>
      </c>
      <c r="C1968" t="s">
        <v>3857</v>
      </c>
      <c r="D1968" t="s">
        <v>3858</v>
      </c>
    </row>
    <row r="1969" spans="1:4" x14ac:dyDescent="0.3">
      <c r="A1969" t="s">
        <v>3827</v>
      </c>
      <c r="B1969" t="s">
        <v>3828</v>
      </c>
      <c r="C1969" t="s">
        <v>3859</v>
      </c>
      <c r="D1969" t="s">
        <v>3860</v>
      </c>
    </row>
    <row r="1970" spans="1:4" x14ac:dyDescent="0.3">
      <c r="A1970" t="s">
        <v>3827</v>
      </c>
      <c r="B1970" t="s">
        <v>3828</v>
      </c>
      <c r="C1970" t="s">
        <v>3861</v>
      </c>
      <c r="D1970" t="s">
        <v>3862</v>
      </c>
    </row>
    <row r="1971" spans="1:4" x14ac:dyDescent="0.3">
      <c r="A1971" t="s">
        <v>3827</v>
      </c>
      <c r="B1971" t="s">
        <v>3828</v>
      </c>
      <c r="C1971" t="s">
        <v>3863</v>
      </c>
      <c r="D1971" t="s">
        <v>3864</v>
      </c>
    </row>
    <row r="1972" spans="1:4" x14ac:dyDescent="0.3">
      <c r="A1972" t="s">
        <v>3827</v>
      </c>
      <c r="B1972" t="s">
        <v>3828</v>
      </c>
      <c r="C1972" t="s">
        <v>3865</v>
      </c>
      <c r="D1972" t="s">
        <v>3866</v>
      </c>
    </row>
    <row r="1973" spans="1:4" x14ac:dyDescent="0.3">
      <c r="A1973" t="s">
        <v>3827</v>
      </c>
      <c r="B1973" t="s">
        <v>3828</v>
      </c>
      <c r="C1973" t="s">
        <v>3867</v>
      </c>
      <c r="D1973" t="s">
        <v>3868</v>
      </c>
    </row>
    <row r="1974" spans="1:4" x14ac:dyDescent="0.3">
      <c r="A1974" t="s">
        <v>3827</v>
      </c>
      <c r="B1974" t="s">
        <v>3828</v>
      </c>
      <c r="C1974" t="s">
        <v>3869</v>
      </c>
      <c r="D1974" t="s">
        <v>3870</v>
      </c>
    </row>
    <row r="1975" spans="1:4" x14ac:dyDescent="0.3">
      <c r="A1975" t="s">
        <v>3827</v>
      </c>
      <c r="B1975" t="s">
        <v>3828</v>
      </c>
      <c r="C1975" t="s">
        <v>3871</v>
      </c>
      <c r="D1975" t="s">
        <v>3872</v>
      </c>
    </row>
    <row r="1976" spans="1:4" x14ac:dyDescent="0.3">
      <c r="A1976" t="s">
        <v>3827</v>
      </c>
      <c r="B1976" t="s">
        <v>3828</v>
      </c>
      <c r="C1976" t="s">
        <v>3873</v>
      </c>
      <c r="D1976" t="s">
        <v>3874</v>
      </c>
    </row>
    <row r="1977" spans="1:4" x14ac:dyDescent="0.3">
      <c r="A1977" t="s">
        <v>3827</v>
      </c>
      <c r="B1977" t="s">
        <v>3828</v>
      </c>
      <c r="C1977" t="s">
        <v>3875</v>
      </c>
      <c r="D1977" t="s">
        <v>3876</v>
      </c>
    </row>
    <row r="1978" spans="1:4" x14ac:dyDescent="0.3">
      <c r="A1978" t="s">
        <v>3827</v>
      </c>
      <c r="B1978" t="s">
        <v>3828</v>
      </c>
      <c r="C1978" t="s">
        <v>3877</v>
      </c>
      <c r="D1978" t="s">
        <v>3878</v>
      </c>
    </row>
    <row r="1979" spans="1:4" x14ac:dyDescent="0.3">
      <c r="A1979" t="s">
        <v>3827</v>
      </c>
      <c r="B1979" t="s">
        <v>3828</v>
      </c>
      <c r="C1979" t="s">
        <v>3879</v>
      </c>
      <c r="D1979" t="s">
        <v>3880</v>
      </c>
    </row>
    <row r="1980" spans="1:4" x14ac:dyDescent="0.3">
      <c r="A1980" t="s">
        <v>3827</v>
      </c>
      <c r="B1980" t="s">
        <v>3828</v>
      </c>
      <c r="C1980" t="s">
        <v>3881</v>
      </c>
      <c r="D1980" t="s">
        <v>3882</v>
      </c>
    </row>
    <row r="1981" spans="1:4" x14ac:dyDescent="0.3">
      <c r="A1981" t="s">
        <v>3827</v>
      </c>
      <c r="B1981" t="s">
        <v>3828</v>
      </c>
      <c r="C1981" t="s">
        <v>3883</v>
      </c>
      <c r="D1981" t="s">
        <v>3884</v>
      </c>
    </row>
    <row r="1982" spans="1:4" x14ac:dyDescent="0.3">
      <c r="A1982" t="s">
        <v>3827</v>
      </c>
      <c r="B1982" t="s">
        <v>3828</v>
      </c>
      <c r="C1982" t="s">
        <v>3885</v>
      </c>
      <c r="D1982" t="s">
        <v>3886</v>
      </c>
    </row>
    <row r="1983" spans="1:4" x14ac:dyDescent="0.3">
      <c r="A1983" t="s">
        <v>3827</v>
      </c>
      <c r="B1983" t="s">
        <v>3828</v>
      </c>
      <c r="C1983" t="s">
        <v>3887</v>
      </c>
      <c r="D1983" t="s">
        <v>3888</v>
      </c>
    </row>
    <row r="1984" spans="1:4" x14ac:dyDescent="0.3">
      <c r="A1984" t="s">
        <v>3827</v>
      </c>
      <c r="B1984" t="s">
        <v>3828</v>
      </c>
      <c r="C1984" t="s">
        <v>3889</v>
      </c>
      <c r="D1984" t="s">
        <v>3890</v>
      </c>
    </row>
    <row r="1985" spans="1:4" x14ac:dyDescent="0.3">
      <c r="A1985" t="s">
        <v>3827</v>
      </c>
      <c r="B1985" t="s">
        <v>3828</v>
      </c>
      <c r="C1985" t="s">
        <v>3891</v>
      </c>
      <c r="D1985" t="s">
        <v>3892</v>
      </c>
    </row>
    <row r="1986" spans="1:4" x14ac:dyDescent="0.3">
      <c r="A1986" t="s">
        <v>3827</v>
      </c>
      <c r="B1986" t="s">
        <v>3828</v>
      </c>
      <c r="C1986" t="s">
        <v>3893</v>
      </c>
      <c r="D1986" t="s">
        <v>3894</v>
      </c>
    </row>
    <row r="1987" spans="1:4" x14ac:dyDescent="0.3">
      <c r="A1987" t="s">
        <v>2920</v>
      </c>
      <c r="B1987" t="s">
        <v>3895</v>
      </c>
      <c r="C1987" t="s">
        <v>3896</v>
      </c>
      <c r="D1987" t="s">
        <v>3897</v>
      </c>
    </row>
    <row r="1988" spans="1:4" x14ac:dyDescent="0.3">
      <c r="A1988" t="s">
        <v>2920</v>
      </c>
      <c r="B1988" t="s">
        <v>3895</v>
      </c>
      <c r="C1988" t="s">
        <v>3898</v>
      </c>
      <c r="D1988" t="s">
        <v>3899</v>
      </c>
    </row>
    <row r="1989" spans="1:4" x14ac:dyDescent="0.3">
      <c r="A1989" t="s">
        <v>2920</v>
      </c>
      <c r="B1989" t="s">
        <v>3895</v>
      </c>
      <c r="C1989" t="s">
        <v>3900</v>
      </c>
      <c r="D1989" t="s">
        <v>3901</v>
      </c>
    </row>
    <row r="1990" spans="1:4" x14ac:dyDescent="0.3">
      <c r="A1990" t="s">
        <v>2920</v>
      </c>
      <c r="B1990" t="s">
        <v>3895</v>
      </c>
      <c r="C1990" t="s">
        <v>3902</v>
      </c>
      <c r="D1990" t="s">
        <v>1529</v>
      </c>
    </row>
    <row r="1991" spans="1:4" x14ac:dyDescent="0.3">
      <c r="A1991" t="s">
        <v>2920</v>
      </c>
      <c r="B1991" t="s">
        <v>3895</v>
      </c>
      <c r="C1991" t="s">
        <v>3903</v>
      </c>
      <c r="D1991" t="s">
        <v>3904</v>
      </c>
    </row>
    <row r="1992" spans="1:4" x14ac:dyDescent="0.3">
      <c r="A1992" t="s">
        <v>2920</v>
      </c>
      <c r="B1992" t="s">
        <v>3895</v>
      </c>
      <c r="C1992" t="s">
        <v>3905</v>
      </c>
      <c r="D1992" t="s">
        <v>3906</v>
      </c>
    </row>
    <row r="1993" spans="1:4" x14ac:dyDescent="0.3">
      <c r="A1993" t="s">
        <v>2920</v>
      </c>
      <c r="B1993" t="s">
        <v>3895</v>
      </c>
      <c r="C1993" t="s">
        <v>3907</v>
      </c>
      <c r="D1993" t="s">
        <v>3908</v>
      </c>
    </row>
    <row r="1994" spans="1:4" x14ac:dyDescent="0.3">
      <c r="A1994" t="s">
        <v>2920</v>
      </c>
      <c r="B1994" t="s">
        <v>3895</v>
      </c>
      <c r="C1994" t="s">
        <v>3909</v>
      </c>
      <c r="D1994" t="s">
        <v>3910</v>
      </c>
    </row>
    <row r="1995" spans="1:4" x14ac:dyDescent="0.3">
      <c r="A1995" t="s">
        <v>2920</v>
      </c>
      <c r="B1995" t="s">
        <v>3895</v>
      </c>
      <c r="C1995" t="s">
        <v>3911</v>
      </c>
      <c r="D1995" t="s">
        <v>3912</v>
      </c>
    </row>
    <row r="1996" spans="1:4" x14ac:dyDescent="0.3">
      <c r="A1996" t="s">
        <v>2920</v>
      </c>
      <c r="B1996" t="s">
        <v>3895</v>
      </c>
      <c r="C1996" t="s">
        <v>3913</v>
      </c>
      <c r="D1996" t="s">
        <v>1789</v>
      </c>
    </row>
    <row r="1997" spans="1:4" x14ac:dyDescent="0.3">
      <c r="A1997" t="s">
        <v>2920</v>
      </c>
      <c r="B1997" t="s">
        <v>3895</v>
      </c>
      <c r="C1997" t="s">
        <v>3914</v>
      </c>
      <c r="D1997" t="s">
        <v>3915</v>
      </c>
    </row>
    <row r="1998" spans="1:4" x14ac:dyDescent="0.3">
      <c r="A1998" t="s">
        <v>2920</v>
      </c>
      <c r="B1998" t="s">
        <v>3895</v>
      </c>
      <c r="C1998" t="s">
        <v>3916</v>
      </c>
      <c r="D1998" t="s">
        <v>3917</v>
      </c>
    </row>
    <row r="1999" spans="1:4" x14ac:dyDescent="0.3">
      <c r="A1999" t="s">
        <v>2920</v>
      </c>
      <c r="B1999" t="s">
        <v>3895</v>
      </c>
      <c r="C1999" t="s">
        <v>3918</v>
      </c>
      <c r="D1999" t="s">
        <v>3919</v>
      </c>
    </row>
    <row r="2000" spans="1:4" x14ac:dyDescent="0.3">
      <c r="A2000" t="s">
        <v>2920</v>
      </c>
      <c r="B2000" t="s">
        <v>3895</v>
      </c>
      <c r="C2000" t="s">
        <v>3920</v>
      </c>
      <c r="D2000" t="s">
        <v>3921</v>
      </c>
    </row>
    <row r="2001" spans="1:4" x14ac:dyDescent="0.3">
      <c r="A2001" t="s">
        <v>2920</v>
      </c>
      <c r="B2001" t="s">
        <v>3895</v>
      </c>
      <c r="C2001" t="s">
        <v>3922</v>
      </c>
      <c r="D2001" t="s">
        <v>3923</v>
      </c>
    </row>
    <row r="2002" spans="1:4" x14ac:dyDescent="0.3">
      <c r="A2002" t="s">
        <v>2920</v>
      </c>
      <c r="B2002" t="s">
        <v>3895</v>
      </c>
      <c r="C2002" t="s">
        <v>3924</v>
      </c>
      <c r="D2002" t="s">
        <v>893</v>
      </c>
    </row>
    <row r="2003" spans="1:4" x14ac:dyDescent="0.3">
      <c r="A2003" t="s">
        <v>2920</v>
      </c>
      <c r="B2003" t="s">
        <v>3895</v>
      </c>
      <c r="C2003" t="s">
        <v>3925</v>
      </c>
      <c r="D2003" t="s">
        <v>3926</v>
      </c>
    </row>
    <row r="2004" spans="1:4" x14ac:dyDescent="0.3">
      <c r="A2004" t="s">
        <v>2920</v>
      </c>
      <c r="B2004" t="s">
        <v>3895</v>
      </c>
      <c r="C2004" t="s">
        <v>3927</v>
      </c>
      <c r="D2004" t="s">
        <v>3928</v>
      </c>
    </row>
    <row r="2005" spans="1:4" x14ac:dyDescent="0.3">
      <c r="A2005" t="s">
        <v>2920</v>
      </c>
      <c r="B2005" t="s">
        <v>3895</v>
      </c>
      <c r="C2005" t="s">
        <v>3929</v>
      </c>
      <c r="D2005" t="s">
        <v>3930</v>
      </c>
    </row>
    <row r="2006" spans="1:4" x14ac:dyDescent="0.3">
      <c r="A2006" t="s">
        <v>2920</v>
      </c>
      <c r="B2006" t="s">
        <v>3895</v>
      </c>
      <c r="C2006" t="s">
        <v>3931</v>
      </c>
      <c r="D2006" t="s">
        <v>3932</v>
      </c>
    </row>
    <row r="2007" spans="1:4" x14ac:dyDescent="0.3">
      <c r="A2007" t="s">
        <v>2920</v>
      </c>
      <c r="B2007" t="s">
        <v>3895</v>
      </c>
      <c r="C2007" t="s">
        <v>3933</v>
      </c>
      <c r="D2007" t="s">
        <v>3934</v>
      </c>
    </row>
    <row r="2008" spans="1:4" x14ac:dyDescent="0.3">
      <c r="A2008" t="s">
        <v>3935</v>
      </c>
      <c r="B2008" t="s">
        <v>3936</v>
      </c>
      <c r="C2008" t="s">
        <v>3937</v>
      </c>
      <c r="D2008" t="s">
        <v>3938</v>
      </c>
    </row>
    <row r="2009" spans="1:4" x14ac:dyDescent="0.3">
      <c r="A2009" t="s">
        <v>3935</v>
      </c>
      <c r="B2009" t="s">
        <v>3936</v>
      </c>
      <c r="C2009" t="s">
        <v>3939</v>
      </c>
      <c r="D2009" t="s">
        <v>3940</v>
      </c>
    </row>
    <row r="2010" spans="1:4" x14ac:dyDescent="0.3">
      <c r="A2010" t="s">
        <v>3935</v>
      </c>
      <c r="B2010" t="s">
        <v>3936</v>
      </c>
      <c r="C2010" t="s">
        <v>3941</v>
      </c>
      <c r="D2010" t="s">
        <v>3942</v>
      </c>
    </row>
    <row r="2011" spans="1:4" x14ac:dyDescent="0.3">
      <c r="A2011" t="s">
        <v>3935</v>
      </c>
      <c r="B2011" t="s">
        <v>3936</v>
      </c>
      <c r="C2011" t="s">
        <v>3943</v>
      </c>
      <c r="D2011" t="s">
        <v>3944</v>
      </c>
    </row>
    <row r="2012" spans="1:4" x14ac:dyDescent="0.3">
      <c r="A2012" t="s">
        <v>3935</v>
      </c>
      <c r="B2012" t="s">
        <v>3936</v>
      </c>
      <c r="C2012" t="s">
        <v>3945</v>
      </c>
      <c r="D2012" t="s">
        <v>3946</v>
      </c>
    </row>
    <row r="2013" spans="1:4" x14ac:dyDescent="0.3">
      <c r="A2013" t="s">
        <v>3935</v>
      </c>
      <c r="B2013" t="s">
        <v>3936</v>
      </c>
      <c r="C2013" t="s">
        <v>3947</v>
      </c>
      <c r="D2013" t="s">
        <v>670</v>
      </c>
    </row>
    <row r="2014" spans="1:4" x14ac:dyDescent="0.3">
      <c r="A2014" t="s">
        <v>3935</v>
      </c>
      <c r="B2014" t="s">
        <v>3936</v>
      </c>
      <c r="C2014" t="s">
        <v>3948</v>
      </c>
      <c r="D2014" t="s">
        <v>3949</v>
      </c>
    </row>
    <row r="2015" spans="1:4" x14ac:dyDescent="0.3">
      <c r="A2015" t="s">
        <v>3935</v>
      </c>
      <c r="B2015" t="s">
        <v>3936</v>
      </c>
      <c r="C2015" t="s">
        <v>3950</v>
      </c>
      <c r="D2015" t="s">
        <v>3951</v>
      </c>
    </row>
    <row r="2016" spans="1:4" x14ac:dyDescent="0.3">
      <c r="A2016" t="s">
        <v>3935</v>
      </c>
      <c r="B2016" t="s">
        <v>3936</v>
      </c>
      <c r="C2016" t="s">
        <v>3952</v>
      </c>
      <c r="D2016" t="s">
        <v>3953</v>
      </c>
    </row>
    <row r="2017" spans="1:4" x14ac:dyDescent="0.3">
      <c r="A2017" t="s">
        <v>3935</v>
      </c>
      <c r="B2017" t="s">
        <v>3936</v>
      </c>
      <c r="C2017" t="s">
        <v>3954</v>
      </c>
      <c r="D2017" t="s">
        <v>3955</v>
      </c>
    </row>
    <row r="2018" spans="1:4" x14ac:dyDescent="0.3">
      <c r="A2018" t="s">
        <v>3935</v>
      </c>
      <c r="B2018" t="s">
        <v>3936</v>
      </c>
      <c r="C2018" t="s">
        <v>3956</v>
      </c>
      <c r="D2018" t="s">
        <v>3957</v>
      </c>
    </row>
    <row r="2019" spans="1:4" x14ac:dyDescent="0.3">
      <c r="A2019" t="s">
        <v>3935</v>
      </c>
      <c r="B2019" t="s">
        <v>3936</v>
      </c>
      <c r="C2019" t="s">
        <v>3958</v>
      </c>
      <c r="D2019" t="s">
        <v>3959</v>
      </c>
    </row>
    <row r="2020" spans="1:4" x14ac:dyDescent="0.3">
      <c r="A2020" t="s">
        <v>3935</v>
      </c>
      <c r="B2020" t="s">
        <v>3936</v>
      </c>
      <c r="C2020" t="s">
        <v>3960</v>
      </c>
      <c r="D2020" t="s">
        <v>3961</v>
      </c>
    </row>
    <row r="2021" spans="1:4" x14ac:dyDescent="0.3">
      <c r="A2021" t="s">
        <v>3935</v>
      </c>
      <c r="B2021" t="s">
        <v>3936</v>
      </c>
      <c r="C2021" t="s">
        <v>3962</v>
      </c>
      <c r="D2021" t="s">
        <v>3963</v>
      </c>
    </row>
    <row r="2022" spans="1:4" x14ac:dyDescent="0.3">
      <c r="A2022" t="s">
        <v>3935</v>
      </c>
      <c r="B2022" t="s">
        <v>3936</v>
      </c>
      <c r="C2022" t="s">
        <v>3964</v>
      </c>
      <c r="D2022" t="s">
        <v>3965</v>
      </c>
    </row>
    <row r="2023" spans="1:4" x14ac:dyDescent="0.3">
      <c r="A2023" t="s">
        <v>3935</v>
      </c>
      <c r="B2023" t="s">
        <v>3936</v>
      </c>
      <c r="C2023" t="s">
        <v>3966</v>
      </c>
      <c r="D2023" t="s">
        <v>3967</v>
      </c>
    </row>
    <row r="2024" spans="1:4" x14ac:dyDescent="0.3">
      <c r="A2024" t="s">
        <v>3935</v>
      </c>
      <c r="B2024" t="s">
        <v>3936</v>
      </c>
      <c r="C2024" t="s">
        <v>3968</v>
      </c>
      <c r="D2024" t="s">
        <v>3969</v>
      </c>
    </row>
    <row r="2025" spans="1:4" x14ac:dyDescent="0.3">
      <c r="A2025" t="s">
        <v>3935</v>
      </c>
      <c r="B2025" t="s">
        <v>3936</v>
      </c>
      <c r="C2025" t="s">
        <v>2670</v>
      </c>
      <c r="D2025" t="s">
        <v>3970</v>
      </c>
    </row>
    <row r="2026" spans="1:4" x14ac:dyDescent="0.3">
      <c r="A2026" t="s">
        <v>3971</v>
      </c>
      <c r="B2026" t="s">
        <v>3972</v>
      </c>
      <c r="C2026" t="s">
        <v>3973</v>
      </c>
      <c r="D2026" t="s">
        <v>3974</v>
      </c>
    </row>
    <row r="2027" spans="1:4" x14ac:dyDescent="0.3">
      <c r="A2027" t="s">
        <v>3971</v>
      </c>
      <c r="B2027" t="s">
        <v>3972</v>
      </c>
      <c r="C2027" t="s">
        <v>3975</v>
      </c>
      <c r="D2027" t="s">
        <v>3976</v>
      </c>
    </row>
    <row r="2028" spans="1:4" x14ac:dyDescent="0.3">
      <c r="A2028" t="s">
        <v>3971</v>
      </c>
      <c r="B2028" t="s">
        <v>3972</v>
      </c>
      <c r="C2028" t="s">
        <v>3977</v>
      </c>
      <c r="D2028" t="s">
        <v>3978</v>
      </c>
    </row>
    <row r="2029" spans="1:4" x14ac:dyDescent="0.3">
      <c r="A2029" t="s">
        <v>3971</v>
      </c>
      <c r="B2029" t="s">
        <v>3972</v>
      </c>
      <c r="C2029" t="s">
        <v>3979</v>
      </c>
      <c r="D2029" t="s">
        <v>3980</v>
      </c>
    </row>
    <row r="2030" spans="1:4" x14ac:dyDescent="0.3">
      <c r="A2030" t="s">
        <v>3971</v>
      </c>
      <c r="B2030" t="s">
        <v>3972</v>
      </c>
      <c r="C2030" t="s">
        <v>3981</v>
      </c>
      <c r="D2030" t="s">
        <v>3982</v>
      </c>
    </row>
    <row r="2031" spans="1:4" x14ac:dyDescent="0.3">
      <c r="A2031" t="s">
        <v>3971</v>
      </c>
      <c r="B2031" t="s">
        <v>3972</v>
      </c>
      <c r="C2031" t="s">
        <v>3983</v>
      </c>
      <c r="D2031" t="s">
        <v>3984</v>
      </c>
    </row>
    <row r="2032" spans="1:4" x14ac:dyDescent="0.3">
      <c r="A2032" t="s">
        <v>3971</v>
      </c>
      <c r="B2032" t="s">
        <v>3972</v>
      </c>
      <c r="C2032" t="s">
        <v>3985</v>
      </c>
      <c r="D2032" t="s">
        <v>3986</v>
      </c>
    </row>
    <row r="2033" spans="1:4" x14ac:dyDescent="0.3">
      <c r="A2033" t="s">
        <v>3971</v>
      </c>
      <c r="B2033" t="s">
        <v>3972</v>
      </c>
      <c r="C2033" t="s">
        <v>3987</v>
      </c>
      <c r="D2033" t="s">
        <v>3988</v>
      </c>
    </row>
    <row r="2034" spans="1:4" x14ac:dyDescent="0.3">
      <c r="A2034" t="s">
        <v>3971</v>
      </c>
      <c r="B2034" t="s">
        <v>3972</v>
      </c>
      <c r="C2034" t="s">
        <v>3989</v>
      </c>
      <c r="D2034" t="s">
        <v>3990</v>
      </c>
    </row>
    <row r="2035" spans="1:4" x14ac:dyDescent="0.3">
      <c r="A2035" t="s">
        <v>3971</v>
      </c>
      <c r="B2035" t="s">
        <v>3972</v>
      </c>
      <c r="C2035" t="s">
        <v>3991</v>
      </c>
      <c r="D2035" t="s">
        <v>3992</v>
      </c>
    </row>
    <row r="2036" spans="1:4" x14ac:dyDescent="0.3">
      <c r="A2036" t="s">
        <v>3971</v>
      </c>
      <c r="B2036" t="s">
        <v>3972</v>
      </c>
      <c r="C2036" t="s">
        <v>3993</v>
      </c>
      <c r="D2036" t="s">
        <v>3994</v>
      </c>
    </row>
    <row r="2037" spans="1:4" x14ac:dyDescent="0.3">
      <c r="A2037" t="s">
        <v>3971</v>
      </c>
      <c r="B2037" t="s">
        <v>3972</v>
      </c>
      <c r="C2037" t="s">
        <v>3995</v>
      </c>
      <c r="D2037" t="s">
        <v>3996</v>
      </c>
    </row>
    <row r="2038" spans="1:4" x14ac:dyDescent="0.3">
      <c r="A2038" t="s">
        <v>3971</v>
      </c>
      <c r="B2038" t="s">
        <v>3972</v>
      </c>
      <c r="C2038" t="s">
        <v>3997</v>
      </c>
      <c r="D2038" t="s">
        <v>3998</v>
      </c>
    </row>
    <row r="2039" spans="1:4" x14ac:dyDescent="0.3">
      <c r="A2039" t="s">
        <v>3971</v>
      </c>
      <c r="B2039" t="s">
        <v>3972</v>
      </c>
      <c r="C2039" t="s">
        <v>3999</v>
      </c>
      <c r="D2039" t="s">
        <v>4000</v>
      </c>
    </row>
    <row r="2040" spans="1:4" x14ac:dyDescent="0.3">
      <c r="A2040" t="s">
        <v>3971</v>
      </c>
      <c r="B2040" t="s">
        <v>3972</v>
      </c>
      <c r="C2040" t="s">
        <v>4001</v>
      </c>
      <c r="D2040" t="s">
        <v>4002</v>
      </c>
    </row>
    <row r="2041" spans="1:4" x14ac:dyDescent="0.3">
      <c r="A2041" t="s">
        <v>3971</v>
      </c>
      <c r="B2041" t="s">
        <v>3972</v>
      </c>
      <c r="C2041" t="s">
        <v>4003</v>
      </c>
      <c r="D2041" t="s">
        <v>4004</v>
      </c>
    </row>
    <row r="2042" spans="1:4" x14ac:dyDescent="0.3">
      <c r="A2042" t="s">
        <v>3971</v>
      </c>
      <c r="B2042" t="s">
        <v>3972</v>
      </c>
      <c r="C2042" t="s">
        <v>4005</v>
      </c>
      <c r="D2042" t="s">
        <v>4006</v>
      </c>
    </row>
    <row r="2043" spans="1:4" x14ac:dyDescent="0.3">
      <c r="A2043" t="s">
        <v>3971</v>
      </c>
      <c r="B2043" t="s">
        <v>3972</v>
      </c>
      <c r="C2043" t="s">
        <v>4215</v>
      </c>
      <c r="D2043" t="s">
        <v>4216</v>
      </c>
    </row>
    <row r="2044" spans="1:4" x14ac:dyDescent="0.3">
      <c r="A2044" t="s">
        <v>3971</v>
      </c>
      <c r="B2044" t="s">
        <v>3972</v>
      </c>
      <c r="C2044" t="s">
        <v>4007</v>
      </c>
      <c r="D2044" t="s">
        <v>4008</v>
      </c>
    </row>
    <row r="2045" spans="1:4" x14ac:dyDescent="0.3">
      <c r="A2045" t="s">
        <v>3971</v>
      </c>
      <c r="B2045" t="s">
        <v>3972</v>
      </c>
      <c r="C2045" t="s">
        <v>4009</v>
      </c>
      <c r="D2045" t="s">
        <v>4010</v>
      </c>
    </row>
    <row r="2046" spans="1:4" x14ac:dyDescent="0.3">
      <c r="A2046" t="s">
        <v>3971</v>
      </c>
      <c r="B2046" t="s">
        <v>3972</v>
      </c>
      <c r="C2046" t="s">
        <v>4011</v>
      </c>
      <c r="D2046" t="s">
        <v>4012</v>
      </c>
    </row>
    <row r="2047" spans="1:4" x14ac:dyDescent="0.3">
      <c r="A2047" t="s">
        <v>3971</v>
      </c>
      <c r="B2047" t="s">
        <v>3972</v>
      </c>
      <c r="C2047" t="s">
        <v>4013</v>
      </c>
      <c r="D2047" t="s">
        <v>4014</v>
      </c>
    </row>
    <row r="2048" spans="1:4" x14ac:dyDescent="0.3">
      <c r="A2048" t="s">
        <v>3971</v>
      </c>
      <c r="B2048" t="s">
        <v>3972</v>
      </c>
      <c r="C2048" t="s">
        <v>4015</v>
      </c>
      <c r="D2048" t="s">
        <v>4016</v>
      </c>
    </row>
    <row r="2049" spans="1:4" x14ac:dyDescent="0.3">
      <c r="A2049" t="s">
        <v>3971</v>
      </c>
      <c r="B2049" t="s">
        <v>3972</v>
      </c>
      <c r="C2049" t="s">
        <v>4017</v>
      </c>
      <c r="D2049" t="s">
        <v>4018</v>
      </c>
    </row>
    <row r="2050" spans="1:4" x14ac:dyDescent="0.3">
      <c r="A2050" t="s">
        <v>3971</v>
      </c>
      <c r="B2050" t="s">
        <v>3972</v>
      </c>
      <c r="C2050" t="s">
        <v>4019</v>
      </c>
      <c r="D2050" t="s">
        <v>4020</v>
      </c>
    </row>
    <row r="2051" spans="1:4" x14ac:dyDescent="0.3">
      <c r="A2051" t="s">
        <v>3971</v>
      </c>
      <c r="B2051" t="s">
        <v>3972</v>
      </c>
      <c r="C2051" t="s">
        <v>4021</v>
      </c>
      <c r="D2051" t="s">
        <v>4022</v>
      </c>
    </row>
    <row r="2052" spans="1:4" x14ac:dyDescent="0.3">
      <c r="A2052" t="s">
        <v>3971</v>
      </c>
      <c r="B2052" t="s">
        <v>3972</v>
      </c>
      <c r="C2052" t="s">
        <v>4023</v>
      </c>
      <c r="D2052" t="s">
        <v>4024</v>
      </c>
    </row>
    <row r="2053" spans="1:4" x14ac:dyDescent="0.3">
      <c r="A2053" t="s">
        <v>3971</v>
      </c>
      <c r="B2053" t="s">
        <v>3972</v>
      </c>
      <c r="C2053" t="s">
        <v>4025</v>
      </c>
      <c r="D2053" t="s">
        <v>4026</v>
      </c>
    </row>
    <row r="2054" spans="1:4" x14ac:dyDescent="0.3">
      <c r="A2054" t="s">
        <v>3971</v>
      </c>
      <c r="B2054" t="s">
        <v>3972</v>
      </c>
      <c r="C2054" t="s">
        <v>4027</v>
      </c>
      <c r="D2054" t="s">
        <v>4028</v>
      </c>
    </row>
    <row r="2055" spans="1:4" x14ac:dyDescent="0.3">
      <c r="A2055" t="s">
        <v>3971</v>
      </c>
      <c r="B2055" t="s">
        <v>3972</v>
      </c>
      <c r="C2055" t="s">
        <v>4029</v>
      </c>
      <c r="D2055" t="s">
        <v>4030</v>
      </c>
    </row>
    <row r="2056" spans="1:4" x14ac:dyDescent="0.3">
      <c r="A2056" t="s">
        <v>3971</v>
      </c>
      <c r="B2056" t="s">
        <v>3972</v>
      </c>
      <c r="C2056" t="s">
        <v>4031</v>
      </c>
      <c r="D2056" t="s">
        <v>4032</v>
      </c>
    </row>
    <row r="2057" spans="1:4" x14ac:dyDescent="0.3">
      <c r="A2057" t="s">
        <v>4308</v>
      </c>
      <c r="B2057" t="s">
        <v>4309</v>
      </c>
      <c r="C2057" t="s">
        <v>4310</v>
      </c>
      <c r="D2057" t="s">
        <v>4311</v>
      </c>
    </row>
  </sheetData>
  <sheetProtection algorithmName="SHA-512" hashValue="ITOTfHD2REe82saamwM3abpthq/MjgeqEJyoPFOx9SAHv+gBe+fhxJNuSy0QVA2O+YjdcMyVCMt/O1mj6/zbqQ==" saltValue="5aBiJvX3oX3bvfAysGJ+wA==" spinCount="100000" sheet="1" objects="1" scenarios="1"/>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4EFF7-7C27-4C3C-9021-0D8DDF2F1F4A}">
  <dimension ref="C1:AG1114"/>
  <sheetViews>
    <sheetView topLeftCell="A10" workbookViewId="0">
      <selection activeCell="B25" sqref="B25"/>
    </sheetView>
  </sheetViews>
  <sheetFormatPr defaultRowHeight="14.4" x14ac:dyDescent="0.3"/>
  <cols>
    <col min="4" max="4" width="10.33203125" style="37" bestFit="1" customWidth="1"/>
    <col min="5" max="5" width="22.6640625" style="37" bestFit="1" customWidth="1"/>
    <col min="6" max="6" width="22.6640625" bestFit="1" customWidth="1"/>
    <col min="7" max="7" width="10.33203125" bestFit="1" customWidth="1"/>
    <col min="11" max="11" width="16" customWidth="1"/>
    <col min="12" max="12" width="22.6640625" style="37" bestFit="1" customWidth="1"/>
    <col min="14" max="14" width="22.6640625" bestFit="1" customWidth="1"/>
    <col min="15" max="15" width="22.6640625" customWidth="1"/>
    <col min="16" max="16" width="10.33203125" bestFit="1" customWidth="1"/>
    <col min="17" max="17" width="10.33203125" customWidth="1"/>
    <col min="18" max="18" width="22.6640625" bestFit="1" customWidth="1"/>
    <col min="24" max="24" width="10.33203125" bestFit="1" customWidth="1"/>
    <col min="25" max="25" width="13.77734375" bestFit="1" customWidth="1"/>
    <col min="29" max="29" width="17.44140625" customWidth="1"/>
    <col min="30" max="30" width="16.44140625" bestFit="1" customWidth="1"/>
    <col min="31" max="31" width="16.77734375" bestFit="1" customWidth="1"/>
    <col min="32" max="32" width="15" customWidth="1"/>
  </cols>
  <sheetData>
    <row r="1" spans="25:33" x14ac:dyDescent="0.3">
      <c r="Y1" t="s">
        <v>4033</v>
      </c>
    </row>
    <row r="2" spans="25:33" x14ac:dyDescent="0.3">
      <c r="Y2" t="s">
        <v>4034</v>
      </c>
      <c r="Z2" t="s">
        <v>4035</v>
      </c>
      <c r="AC2" t="s">
        <v>4036</v>
      </c>
    </row>
    <row r="3" spans="25:33" x14ac:dyDescent="0.3">
      <c r="Y3" t="s">
        <v>4037</v>
      </c>
      <c r="Z3">
        <f>SUM(F21:F464)</f>
        <v>0</v>
      </c>
      <c r="AC3" t="s">
        <v>4038</v>
      </c>
      <c r="AD3" t="s">
        <v>4067</v>
      </c>
      <c r="AE3" t="s">
        <v>4039</v>
      </c>
      <c r="AF3" t="s">
        <v>4040</v>
      </c>
      <c r="AG3" t="s">
        <v>53</v>
      </c>
    </row>
    <row r="4" spans="25:33" x14ac:dyDescent="0.3">
      <c r="Y4" t="s">
        <v>30</v>
      </c>
      <c r="Z4">
        <f>+Z3-SUM(O21:O226)</f>
        <v>0</v>
      </c>
      <c r="AC4">
        <v>1</v>
      </c>
      <c r="AD4">
        <v>1</v>
      </c>
      <c r="AE4" s="42">
        <f>SUM(Term1_Day_1[Instructional Time])</f>
        <v>57.999999999999957</v>
      </c>
      <c r="AF4" s="42">
        <f>SUM(Term1_Day_1[Assigned Time (Non-Instructional)])</f>
        <v>27.000000000000064</v>
      </c>
      <c r="AG4">
        <f t="shared" ref="AG4:AG89" si="0">+AE4+AF4</f>
        <v>85.000000000000028</v>
      </c>
    </row>
    <row r="5" spans="25:33" x14ac:dyDescent="0.3">
      <c r="Y5" t="s">
        <v>49</v>
      </c>
      <c r="Z5">
        <f>COUNTIF(N21:N226,"=Early Dismissal 1")+COUNTIF(N21:N226,"=Early Dismissal 2")+COUNTIF(N21:N226,"=Early Dismissal 3")</f>
        <v>0</v>
      </c>
      <c r="AC5">
        <v>2</v>
      </c>
      <c r="AD5">
        <v>1</v>
      </c>
      <c r="AE5" s="42">
        <f>SUM(Term1_Day_2[Instructional Time])</f>
        <v>0</v>
      </c>
      <c r="AF5" s="42">
        <f>SUM(Term1_Day_2[Assigned Time (Non-Instructional)])</f>
        <v>0</v>
      </c>
      <c r="AG5">
        <f t="shared" si="0"/>
        <v>0</v>
      </c>
    </row>
    <row r="6" spans="25:33" x14ac:dyDescent="0.3">
      <c r="AC6">
        <v>3</v>
      </c>
      <c r="AD6">
        <v>1</v>
      </c>
      <c r="AE6" s="42">
        <f>SUM(Term1_Day_3[Instructional Time])</f>
        <v>0</v>
      </c>
      <c r="AF6" s="42">
        <f>SUM(Term1_Day_3[Assigned Time (Non-Instructional)])</f>
        <v>0</v>
      </c>
      <c r="AG6">
        <f t="shared" si="0"/>
        <v>0</v>
      </c>
    </row>
    <row r="7" spans="25:33" x14ac:dyDescent="0.3">
      <c r="AC7">
        <v>4</v>
      </c>
      <c r="AD7">
        <v>1</v>
      </c>
      <c r="AE7" s="42">
        <f>SUM(Term1_Day_4[Instructional Time])</f>
        <v>0</v>
      </c>
      <c r="AF7" s="42">
        <f>SUM(Term1_Day_4[Assigned Time (Non-Instructional)])</f>
        <v>0</v>
      </c>
      <c r="AG7">
        <f t="shared" si="0"/>
        <v>0</v>
      </c>
    </row>
    <row r="8" spans="25:33" x14ac:dyDescent="0.3">
      <c r="Y8" t="s">
        <v>4068</v>
      </c>
      <c r="AC8">
        <v>5</v>
      </c>
      <c r="AD8">
        <v>1</v>
      </c>
      <c r="AE8" s="42">
        <f>SUM(Term1_Day_5[Instructional Time])</f>
        <v>0</v>
      </c>
      <c r="AF8" s="42">
        <f>SUM(Term1_Day_5[Assigned Time (Non-Instructional)])</f>
        <v>0</v>
      </c>
      <c r="AG8">
        <f t="shared" si="0"/>
        <v>0</v>
      </c>
    </row>
    <row r="9" spans="25:33" x14ac:dyDescent="0.3">
      <c r="Y9" t="s">
        <v>29</v>
      </c>
      <c r="Z9" t="s">
        <v>4067</v>
      </c>
      <c r="AC9">
        <v>6</v>
      </c>
      <c r="AD9">
        <v>1</v>
      </c>
      <c r="AE9" s="42">
        <f>SUM(Term1_Day_6[Instructional Time])</f>
        <v>0</v>
      </c>
      <c r="AF9" s="42">
        <f>SUM(Term1_Day_6[Assigned Time (Non-Instructional)])</f>
        <v>0</v>
      </c>
      <c r="AG9">
        <f t="shared" si="0"/>
        <v>0</v>
      </c>
    </row>
    <row r="10" spans="25:33" x14ac:dyDescent="0.3">
      <c r="Y10" s="37">
        <f>First_Operational_Day</f>
        <v>0</v>
      </c>
      <c r="Z10">
        <v>1</v>
      </c>
      <c r="AC10">
        <v>7</v>
      </c>
      <c r="AD10">
        <v>1</v>
      </c>
      <c r="AE10" s="42">
        <f>SUM(Term1_Day_7[Instructional Time])</f>
        <v>0</v>
      </c>
      <c r="AF10" s="42">
        <f>SUM(Term1_Day_7[Assigned Time (Non-Instructional)])</f>
        <v>0</v>
      </c>
      <c r="AG10" s="42">
        <f t="shared" ref="AG10:AG12" si="1">+AE10+AF10</f>
        <v>0</v>
      </c>
    </row>
    <row r="11" spans="25:33" x14ac:dyDescent="0.3">
      <c r="Y11" s="37" t="str">
        <f>IF(ISBLANK(First_Instructional_Day2),"",First_Instructional_Day2)</f>
        <v/>
      </c>
      <c r="Z11">
        <v>2</v>
      </c>
      <c r="AC11">
        <v>8</v>
      </c>
      <c r="AD11">
        <v>1</v>
      </c>
      <c r="AE11" s="42">
        <f>SUM(Term1_Day_8[Instructional Time])</f>
        <v>0</v>
      </c>
      <c r="AF11" s="42">
        <f>SUM(Term1_Day_8[Assigned Time (Non-Instructional)])</f>
        <v>0</v>
      </c>
      <c r="AG11" s="42">
        <f t="shared" si="1"/>
        <v>0</v>
      </c>
    </row>
    <row r="12" spans="25:33" x14ac:dyDescent="0.3">
      <c r="Y12" s="37" t="str">
        <f>IF(ISBLANK(First_Instructional_Day3),"",First_Instructional_Day3)</f>
        <v/>
      </c>
      <c r="Z12">
        <v>3</v>
      </c>
      <c r="AC12">
        <v>9</v>
      </c>
      <c r="AD12">
        <v>1</v>
      </c>
      <c r="AE12" s="42">
        <f>SUM(Term1_Day_9[Instructional Time])</f>
        <v>0</v>
      </c>
      <c r="AF12" s="42">
        <f>SUM(Term1_Day_9[Assigned Time (Non-Instructional)])</f>
        <v>0</v>
      </c>
      <c r="AG12" s="42">
        <f t="shared" si="1"/>
        <v>0</v>
      </c>
    </row>
    <row r="13" spans="25:33" x14ac:dyDescent="0.3">
      <c r="Y13" s="37" t="str">
        <f>IF(ISBLANK(First_Instructional_Day4),"",First_Instructional_Day4)</f>
        <v/>
      </c>
      <c r="Z13">
        <v>4</v>
      </c>
      <c r="AC13">
        <v>10</v>
      </c>
      <c r="AD13">
        <v>1</v>
      </c>
      <c r="AE13" s="42">
        <f>SUM(Term1_Day_10[Instructional Time])</f>
        <v>0</v>
      </c>
      <c r="AF13" s="42">
        <f>SUM(Term1_Day_10[Assigned Time (Non-Instructional)])</f>
        <v>0</v>
      </c>
      <c r="AG13">
        <f t="shared" si="0"/>
        <v>0</v>
      </c>
    </row>
    <row r="14" spans="25:33" x14ac:dyDescent="0.3">
      <c r="AC14">
        <v>90</v>
      </c>
      <c r="AD14">
        <v>1</v>
      </c>
      <c r="AE14" s="42">
        <f>SUM(Term1_Early_Dismissal_1[Instructional Time])</f>
        <v>0</v>
      </c>
      <c r="AF14" s="42">
        <f>SUM(Term1_Early_Dismissal_1[Assigned Time (Non-Instructional)])</f>
        <v>0</v>
      </c>
      <c r="AG14" s="42">
        <f t="shared" ref="AG14:AG23" si="2">+AE14+AF14</f>
        <v>0</v>
      </c>
    </row>
    <row r="15" spans="25:33" x14ac:dyDescent="0.3">
      <c r="AC15">
        <v>91</v>
      </c>
      <c r="AD15">
        <v>1</v>
      </c>
      <c r="AE15" s="42">
        <f>SUM(Term1_Early_Dismissal_2[Instructional Time])</f>
        <v>0</v>
      </c>
      <c r="AF15" s="42">
        <f>SUM(Term1_Early_Dismissal_2[Assigned Time (Non-Instructional)])</f>
        <v>0</v>
      </c>
      <c r="AG15" s="42">
        <f t="shared" si="2"/>
        <v>0</v>
      </c>
    </row>
    <row r="16" spans="25:33" x14ac:dyDescent="0.3">
      <c r="AC16">
        <v>92</v>
      </c>
      <c r="AD16">
        <v>1</v>
      </c>
      <c r="AE16" s="42">
        <f>SUM(Term1_Early_Dismissal_3[Instructional Time])</f>
        <v>0</v>
      </c>
      <c r="AF16" s="42">
        <f>SUM(Term1_Early_Dismissal_3[Assigned Time (Non-Instructional)])</f>
        <v>0</v>
      </c>
      <c r="AG16" s="42">
        <f>+AE16+AF16</f>
        <v>0</v>
      </c>
    </row>
    <row r="17" spans="3:33" x14ac:dyDescent="0.3">
      <c r="Y17" t="s">
        <v>4068</v>
      </c>
      <c r="AC17">
        <v>93</v>
      </c>
      <c r="AD17">
        <v>1</v>
      </c>
      <c r="AE17" s="42">
        <f>SUM(Term1_Early_Dismissal_4[Instructional Time])</f>
        <v>0</v>
      </c>
      <c r="AF17" s="42">
        <f>SUM(Term1_Early_Dismissal_4[Assigned Time (Non-Instructional)])</f>
        <v>0</v>
      </c>
      <c r="AG17" s="42">
        <f>+AE17+AF17</f>
        <v>0</v>
      </c>
    </row>
    <row r="18" spans="3:33" x14ac:dyDescent="0.3">
      <c r="Y18" t="s">
        <v>29</v>
      </c>
      <c r="Z18" t="s">
        <v>4067</v>
      </c>
      <c r="AA18" t="s">
        <v>4038</v>
      </c>
      <c r="AC18">
        <v>94</v>
      </c>
      <c r="AD18">
        <v>1</v>
      </c>
      <c r="AE18" s="42">
        <f>SUM(Term1_Early_Dismissal_5[Instructional Time])</f>
        <v>0</v>
      </c>
      <c r="AF18" s="42">
        <f>SUM(Term1_Early_Dismissal_5[Assigned Time (Non-Instructional)])</f>
        <v>0</v>
      </c>
      <c r="AG18" s="42">
        <f t="shared" ref="AG18:AG19" si="3">+AE18+AF18</f>
        <v>0</v>
      </c>
    </row>
    <row r="19" spans="3:33" x14ac:dyDescent="0.3">
      <c r="Y19" s="37">
        <f>First_Instructional_Day1</f>
        <v>0</v>
      </c>
      <c r="Z19">
        <v>1</v>
      </c>
      <c r="AA19">
        <v>1</v>
      </c>
      <c r="AC19">
        <v>95</v>
      </c>
      <c r="AD19">
        <v>1</v>
      </c>
      <c r="AE19" s="42">
        <f>SUM(Term1_Early_Dismissal_6[Instructional Time])</f>
        <v>0</v>
      </c>
      <c r="AF19" s="42">
        <f>SUM(Term1_Early_Dismissal_6[Assigned Time (Non-Instructional)])</f>
        <v>0</v>
      </c>
      <c r="AG19" s="42">
        <f t="shared" si="3"/>
        <v>0</v>
      </c>
    </row>
    <row r="20" spans="3:33" x14ac:dyDescent="0.3">
      <c r="C20" t="s">
        <v>28</v>
      </c>
      <c r="D20" s="37" t="s">
        <v>29</v>
      </c>
      <c r="E20" t="s">
        <v>19</v>
      </c>
      <c r="F20" t="s">
        <v>4043</v>
      </c>
      <c r="J20" t="s">
        <v>28</v>
      </c>
      <c r="K20" s="37" t="s">
        <v>29</v>
      </c>
      <c r="L20" s="37" t="s">
        <v>19</v>
      </c>
      <c r="M20" t="s">
        <v>4043</v>
      </c>
      <c r="N20" t="s">
        <v>4044</v>
      </c>
      <c r="O20" t="s">
        <v>4121</v>
      </c>
      <c r="P20" t="s">
        <v>4045</v>
      </c>
      <c r="Q20" t="s">
        <v>4046</v>
      </c>
      <c r="R20" t="s">
        <v>4042</v>
      </c>
      <c r="S20" t="s">
        <v>4067</v>
      </c>
      <c r="T20" t="s">
        <v>30</v>
      </c>
      <c r="U20" t="s">
        <v>52</v>
      </c>
      <c r="Y20" s="37" t="str">
        <f>IF(ISBLANK(First_Instructional_Day2),"",First_Instructional_Day2)</f>
        <v/>
      </c>
      <c r="Z20">
        <v>2</v>
      </c>
      <c r="AA20">
        <v>1</v>
      </c>
      <c r="AC20">
        <v>96</v>
      </c>
      <c r="AD20">
        <v>1</v>
      </c>
      <c r="AE20" s="42">
        <f>SUM(Term1_Special_Day_1[Instructional Time])</f>
        <v>0</v>
      </c>
      <c r="AF20" s="42">
        <f>SUM(Term1_Special_Day_1[Assigned Time (Non-Instructional)])</f>
        <v>0</v>
      </c>
      <c r="AG20" s="42">
        <f t="shared" si="2"/>
        <v>0</v>
      </c>
    </row>
    <row r="21" spans="3:33" x14ac:dyDescent="0.3">
      <c r="C21">
        <v>8</v>
      </c>
      <c r="D21" s="37" cm="1">
        <f t="array" ref="D21:D27">TRANSPOSE(Calendar!B13:H13)</f>
        <v>46229</v>
      </c>
      <c r="E21" cm="1">
        <f t="array" ref="E21:E27">TRANSPOSE(Calendar!B14:H14)</f>
        <v>0</v>
      </c>
      <c r="F21">
        <f t="shared" ref="F21:F84" si="4">IF(AND(MONTH(D21)=C21,D21&gt;=First_Operational_Day,D21&lt;=Last_Operational_Day,WEEKDAY(D21)&lt;&gt;1,WEEKDAY(D21)&lt;&gt;7,E21&lt;&gt;"Closed (non-operational)"),1,0)</f>
        <v>0</v>
      </c>
      <c r="J21" t="e" cm="1" vm="1">
        <f t="array" ref="J21">_xlfn._xlws.FILTER(C20:F464,(F20:F464=1))</f>
        <v>#VALUE!</v>
      </c>
      <c r="K21" s="37"/>
      <c r="L21"/>
      <c r="N21" t="str">
        <f>IF(ISBLANK(K21),"",IF(L21=0,"Instructional",L21))</f>
        <v/>
      </c>
      <c r="O21">
        <f>IF(OR(N21="Planning Day",N21="PD/In-Service Day"),1,0)</f>
        <v>0</v>
      </c>
      <c r="P21">
        <f>IF(IF(ISERROR(MATCH(K21,Rotation_Reset_Dates[Date],0)),0,1)=1,1,IF(ISBLANK(K21),"",IF(OR(rotationDays=1,K21&lt;First_Instructional_Day1),0,IF(AND(rotationDays&gt;1,K21=First_Instructional_Day1),1,IF(P20+IF(OR(N20="Instructional",N20="Not Scheduled"),1,0)&gt;rotationDays,1,P20+IF(OR(N20="Instructional",N20="Not Scheduled"),1,0))))))</f>
        <v>1</v>
      </c>
      <c r="Q21" t="str">
        <f t="shared" ref="Q21:Q52" si="5">IF(ISBLANK(K21),"",IF(K21&gt;=First_Instructional_Day1,WEEKDAY(K21)-1,0))</f>
        <v/>
      </c>
      <c r="R21" t="str">
        <f>IF(ISBLANK(K21),"",IF(N21="Operational (no students)",99,IF(N21="Instructional",IF(rotationDays=1,Q21,P21),_xlfn.XLOOKUP(N21,TimeTable_Codes[Description],TimeTable_Codes[TimetableCode]))))</f>
        <v/>
      </c>
      <c r="S21" t="str">
        <f>IF(NOT(ISBLANK(K21)),VLOOKUP(K21,term_lookups[],2),"")</f>
        <v/>
      </c>
      <c r="T21" cm="1">
        <f t="array" ref="T21">IF(ISBLANK(K21),0,_xlfn.XLOOKUP(R21&amp;S21,Daily_Totals[Day]&amp;Daily_Totals[Term],Daily_Totals[Instruction]))</f>
        <v>0</v>
      </c>
      <c r="U21" cm="1">
        <f t="array" ref="U21">IF(ISBLANK(K21),0,_xlfn.XLOOKUP(R21&amp;S21,Daily_Totals[Day]&amp;Daily_Totals[Term],Daily_Totals[Non-Instruction]))</f>
        <v>0</v>
      </c>
      <c r="Y21" s="37" t="str">
        <f>IF(ISBLANK(First_Instructional_Day3),"",First_Instructional_Day3)</f>
        <v/>
      </c>
      <c r="Z21">
        <v>3</v>
      </c>
      <c r="AA21">
        <v>1</v>
      </c>
      <c r="AC21">
        <v>97</v>
      </c>
      <c r="AD21">
        <v>1</v>
      </c>
      <c r="AE21" s="42">
        <f>SUM(Term1_Special_Day_2[Instructional Time])</f>
        <v>0</v>
      </c>
      <c r="AF21" s="42">
        <f>SUM(Term1_Special_Day_2[Assigned Time (Non-Instructional)])</f>
        <v>0</v>
      </c>
      <c r="AG21" s="42">
        <f t="shared" si="2"/>
        <v>0</v>
      </c>
    </row>
    <row r="22" spans="3:33" x14ac:dyDescent="0.3">
      <c r="C22">
        <v>8</v>
      </c>
      <c r="D22" s="37">
        <v>46230</v>
      </c>
      <c r="E22">
        <v>0</v>
      </c>
      <c r="F22">
        <f t="shared" si="4"/>
        <v>0</v>
      </c>
      <c r="K22" s="37"/>
      <c r="L22"/>
      <c r="N22" t="str">
        <f t="shared" ref="N22:N85" si="6">IF(ISBLANK(K22),"",IF(L22=0,"Instructional",L22))</f>
        <v/>
      </c>
      <c r="O22">
        <f t="shared" ref="O22:O85" si="7">IF(OR(N22="Planning Day",N22="PD/In-Service Day"),1,0)</f>
        <v>0</v>
      </c>
      <c r="P22">
        <f>IF(IF(ISERROR(MATCH(K22,Rotation_Reset_Dates[Date],0)),0,1)=1,1,IF(ISBLANK(K22),"",IF(OR(rotationDays=1,K22&lt;First_Instructional_Day1),0,IF(AND(rotationDays&gt;1,K22=First_Instructional_Day1),1,IF(P21+IF(OR(N21="Instructional",N21="Not Scheduled"),1,0)&gt;rotationDays,1,P21+IF(OR(N21="Instructional",N21="Not Scheduled"),1,0))))))</f>
        <v>1</v>
      </c>
      <c r="Q22" t="str">
        <f t="shared" si="5"/>
        <v/>
      </c>
      <c r="R22" t="str">
        <f>IF(ISBLANK(K22),"",IF(N22="Operational (no students)",99,IF(N22="Instructional",IF(rotationDays=1,Q22,P22),_xlfn.XLOOKUP(N22,TimeTable_Codes[Description],TimeTable_Codes[TimetableCode]))))</f>
        <v/>
      </c>
      <c r="S22" t="str">
        <f>IF(NOT(ISBLANK(K22)),VLOOKUP(K22,term_lookups[],2),"")</f>
        <v/>
      </c>
      <c r="T22" cm="1">
        <f t="array" ref="T22">IF(ISBLANK(K22),0,_xlfn.XLOOKUP(R22&amp;S22,Daily_Totals[Day]&amp;Daily_Totals[Term],Daily_Totals[Instruction]))</f>
        <v>0</v>
      </c>
      <c r="U22" cm="1">
        <f t="array" ref="U22">IF(ISBLANK(K22),0,_xlfn.XLOOKUP(R22&amp;S22,Daily_Totals[Day]&amp;Daily_Totals[Term],Daily_Totals[Non-Instruction]))</f>
        <v>0</v>
      </c>
      <c r="Y22" s="37" t="str">
        <f>IF(ISBLANK(First_Instructional_Day4),"",First_Instructional_Day4)</f>
        <v/>
      </c>
      <c r="Z22">
        <v>4</v>
      </c>
      <c r="AA22">
        <v>1</v>
      </c>
      <c r="AC22">
        <v>98</v>
      </c>
      <c r="AD22">
        <v>1</v>
      </c>
      <c r="AE22" s="42">
        <f>SUM(Term1_Special_Day_3[Instructional Time])</f>
        <v>0</v>
      </c>
      <c r="AF22" s="42">
        <f>SUM(Term1_Special_Day_3[Assigned Time (Non-Instructional)])</f>
        <v>0</v>
      </c>
      <c r="AG22" s="42">
        <f t="shared" si="2"/>
        <v>0</v>
      </c>
    </row>
    <row r="23" spans="3:33" x14ac:dyDescent="0.3">
      <c r="C23">
        <v>8</v>
      </c>
      <c r="D23" s="37">
        <v>46231</v>
      </c>
      <c r="E23">
        <v>0</v>
      </c>
      <c r="F23">
        <f t="shared" si="4"/>
        <v>0</v>
      </c>
      <c r="K23" s="37"/>
      <c r="L23"/>
      <c r="N23" t="str">
        <f t="shared" si="6"/>
        <v/>
      </c>
      <c r="O23">
        <f t="shared" si="7"/>
        <v>0</v>
      </c>
      <c r="P23">
        <f>IF(IF(ISERROR(MATCH(K23,Rotation_Reset_Dates[Date],0)),0,1)=1,1,IF(ISBLANK(K23),"",IF(OR(rotationDays=1,K23&lt;First_Instructional_Day1),0,IF(AND(rotationDays&gt;1,K23=First_Instructional_Day1),1,IF(P22+IF(OR(N22="Instructional",N22="Not Scheduled"),1,0)&gt;rotationDays,1,P22+IF(OR(N22="Instructional",N22="Not Scheduled"),1,0))))))</f>
        <v>1</v>
      </c>
      <c r="Q23" t="str">
        <f t="shared" si="5"/>
        <v/>
      </c>
      <c r="R23" t="str">
        <f>IF(ISBLANK(K23),"",IF(N23="Operational (no students)",99,IF(N23="Instructional",IF(rotationDays=1,Q23,P23),_xlfn.XLOOKUP(N23,TimeTable_Codes[Description],TimeTable_Codes[TimetableCode]))))</f>
        <v/>
      </c>
      <c r="S23" t="str">
        <f>IF(NOT(ISBLANK(K23)),VLOOKUP(K23,term_lookups[],2),"")</f>
        <v/>
      </c>
      <c r="T23" cm="1">
        <f t="array" ref="T23">IF(ISBLANK(K23),0,_xlfn.XLOOKUP(R23&amp;S23,Daily_Totals[Day]&amp;Daily_Totals[Term],Daily_Totals[Instruction]))</f>
        <v>0</v>
      </c>
      <c r="U23" cm="1">
        <f t="array" ref="U23">IF(ISBLANK(K23),0,_xlfn.XLOOKUP(R23&amp;S23,Daily_Totals[Day]&amp;Daily_Totals[Term],Daily_Totals[Non-Instruction]))</f>
        <v>0</v>
      </c>
      <c r="AC23">
        <v>99</v>
      </c>
      <c r="AD23">
        <v>1</v>
      </c>
      <c r="AE23">
        <v>0</v>
      </c>
      <c r="AF23">
        <f>IF(ISBLANK(PD_Length),360,PD_Length)</f>
        <v>360</v>
      </c>
      <c r="AG23" s="42">
        <f t="shared" si="2"/>
        <v>360</v>
      </c>
    </row>
    <row r="24" spans="3:33" x14ac:dyDescent="0.3">
      <c r="C24">
        <v>8</v>
      </c>
      <c r="D24" s="37">
        <v>46232</v>
      </c>
      <c r="E24">
        <v>0</v>
      </c>
      <c r="F24">
        <f t="shared" si="4"/>
        <v>0</v>
      </c>
      <c r="K24" s="37"/>
      <c r="L24"/>
      <c r="N24" t="str">
        <f t="shared" si="6"/>
        <v/>
      </c>
      <c r="O24">
        <f t="shared" si="7"/>
        <v>0</v>
      </c>
      <c r="P24">
        <f>IF(IF(ISERROR(MATCH(K24,Rotation_Reset_Dates[Date],0)),0,1)=1,1,IF(ISBLANK(K24),"",IF(OR(rotationDays=1,K24&lt;First_Instructional_Day1),0,IF(AND(rotationDays&gt;1,K24=First_Instructional_Day1),1,IF(P23+IF(OR(N23="Instructional",N23="Not Scheduled"),1,0)&gt;rotationDays,1,P23+IF(OR(N23="Instructional",N23="Not Scheduled"),1,0))))))</f>
        <v>1</v>
      </c>
      <c r="Q24" t="str">
        <f t="shared" si="5"/>
        <v/>
      </c>
      <c r="R24" t="str">
        <f>IF(ISBLANK(K24),"",IF(N24="Operational (no students)",99,IF(N24="Instructional",IF(rotationDays=1,Q24,P24),_xlfn.XLOOKUP(N24,TimeTable_Codes[Description],TimeTable_Codes[TimetableCode]))))</f>
        <v/>
      </c>
      <c r="S24" t="str">
        <f>IF(NOT(ISBLANK(K24)),VLOOKUP(K24,term_lookups[],2),"")</f>
        <v/>
      </c>
      <c r="T24" cm="1">
        <f t="array" ref="T24">IF(ISBLANK(K24),0,_xlfn.XLOOKUP(R24&amp;S24,Daily_Totals[Day]&amp;Daily_Totals[Term],Daily_Totals[Instruction]))</f>
        <v>0</v>
      </c>
      <c r="U24" cm="1">
        <f t="array" ref="U24">IF(ISBLANK(K24),0,_xlfn.XLOOKUP(R24&amp;S24,Daily_Totals[Day]&amp;Daily_Totals[Term],Daily_Totals[Non-Instruction]))</f>
        <v>0</v>
      </c>
      <c r="AC24">
        <v>100</v>
      </c>
      <c r="AD24">
        <v>1</v>
      </c>
      <c r="AE24">
        <v>0</v>
      </c>
      <c r="AF24">
        <f>IF(ISBLANK(Planning_Length),360,Planning_Length)</f>
        <v>360</v>
      </c>
      <c r="AG24" s="42">
        <f>+AE24+AF24</f>
        <v>360</v>
      </c>
    </row>
    <row r="25" spans="3:33" x14ac:dyDescent="0.3">
      <c r="C25">
        <v>8</v>
      </c>
      <c r="D25" s="37">
        <v>46233</v>
      </c>
      <c r="E25">
        <v>0</v>
      </c>
      <c r="F25">
        <f t="shared" si="4"/>
        <v>0</v>
      </c>
      <c r="K25" s="37"/>
      <c r="L25"/>
      <c r="N25" t="str">
        <f t="shared" si="6"/>
        <v/>
      </c>
      <c r="O25">
        <f t="shared" si="7"/>
        <v>0</v>
      </c>
      <c r="P25">
        <f>IF(IF(ISERROR(MATCH(K25,Rotation_Reset_Dates[Date],0)),0,1)=1,1,IF(ISBLANK(K25),"",IF(OR(rotationDays=1,K25&lt;First_Instructional_Day1),0,IF(AND(rotationDays&gt;1,K25=First_Instructional_Day1),1,IF(P24+IF(OR(N24="Instructional",N24="Not Scheduled"),1,0)&gt;rotationDays,1,P24+IF(OR(N24="Instructional",N24="Not Scheduled"),1,0))))))</f>
        <v>1</v>
      </c>
      <c r="Q25" t="str">
        <f t="shared" si="5"/>
        <v/>
      </c>
      <c r="R25" t="str">
        <f>IF(ISBLANK(K25),"",IF(N25="Operational (no students)",99,IF(N25="Instructional",IF(rotationDays=1,Q25,P25),_xlfn.XLOOKUP(N25,TimeTable_Codes[Description],TimeTable_Codes[TimetableCode]))))</f>
        <v/>
      </c>
      <c r="S25" t="str">
        <f>IF(NOT(ISBLANK(K25)),VLOOKUP(K25,term_lookups[],2),"")</f>
        <v/>
      </c>
      <c r="T25" cm="1">
        <f t="array" ref="T25">IF(ISBLANK(K25),0,_xlfn.XLOOKUP(R25&amp;S25,Daily_Totals[Day]&amp;Daily_Totals[Term],Daily_Totals[Instruction]))</f>
        <v>0</v>
      </c>
      <c r="U25" cm="1">
        <f t="array" ref="U25">IF(ISBLANK(K25),0,_xlfn.XLOOKUP(R25&amp;S25,Daily_Totals[Day]&amp;Daily_Totals[Term],Daily_Totals[Non-Instruction]))</f>
        <v>0</v>
      </c>
      <c r="AC25">
        <v>101</v>
      </c>
      <c r="AD25">
        <v>1</v>
      </c>
      <c r="AE25">
        <v>0</v>
      </c>
      <c r="AF25">
        <v>0</v>
      </c>
      <c r="AG25" s="42">
        <f>+AE25+AF25</f>
        <v>0</v>
      </c>
    </row>
    <row r="26" spans="3:33" x14ac:dyDescent="0.3">
      <c r="C26">
        <v>8</v>
      </c>
      <c r="D26" s="37">
        <v>46234</v>
      </c>
      <c r="E26">
        <v>0</v>
      </c>
      <c r="F26">
        <f t="shared" si="4"/>
        <v>0</v>
      </c>
      <c r="K26" s="37"/>
      <c r="L26"/>
      <c r="N26" t="str">
        <f t="shared" si="6"/>
        <v/>
      </c>
      <c r="O26">
        <f t="shared" si="7"/>
        <v>0</v>
      </c>
      <c r="P26">
        <f>IF(IF(ISERROR(MATCH(K26,Rotation_Reset_Dates[Date],0)),0,1)=1,1,IF(ISBLANK(K26),"",IF(OR(rotationDays=1,K26&lt;First_Instructional_Day1),0,IF(AND(rotationDays&gt;1,K26=First_Instructional_Day1),1,IF(P25+IF(OR(N25="Instructional",N25="Not Scheduled"),1,0)&gt;rotationDays,1,P25+IF(OR(N25="Instructional",N25="Not Scheduled"),1,0))))))</f>
        <v>1</v>
      </c>
      <c r="Q26" t="str">
        <f t="shared" si="5"/>
        <v/>
      </c>
      <c r="R26" t="str">
        <f>IF(ISBLANK(K26),"",IF(N26="Operational (no students)",99,IF(N26="Instructional",IF(rotationDays=1,Q26,P26),_xlfn.XLOOKUP(N26,TimeTable_Codes[Description],TimeTable_Codes[TimetableCode]))))</f>
        <v/>
      </c>
      <c r="S26" t="str">
        <f>IF(NOT(ISBLANK(K26)),VLOOKUP(K26,term_lookups[],2),"")</f>
        <v/>
      </c>
      <c r="T26" cm="1">
        <f t="array" ref="T26">IF(ISBLANK(K26),0,_xlfn.XLOOKUP(R26&amp;S26,Daily_Totals[Day]&amp;Daily_Totals[Term],Daily_Totals[Instruction]))</f>
        <v>0</v>
      </c>
      <c r="U26" cm="1">
        <f t="array" ref="U26">IF(ISBLANK(K26),0,_xlfn.XLOOKUP(R26&amp;S26,Daily_Totals[Day]&amp;Daily_Totals[Term],Daily_Totals[Non-Instruction]))</f>
        <v>0</v>
      </c>
      <c r="AC26">
        <v>1</v>
      </c>
      <c r="AD26">
        <v>2</v>
      </c>
      <c r="AE26" s="42">
        <f>SUM(Term2_Day_1[Instructional Time])</f>
        <v>0</v>
      </c>
      <c r="AF26" s="42">
        <f>SUM(Term2_Day_1[Assigned Time (Non-Instructional)])</f>
        <v>0</v>
      </c>
      <c r="AG26" s="42">
        <f t="shared" ref="AG26:AG45" si="8">+AE26+AF26</f>
        <v>0</v>
      </c>
    </row>
    <row r="27" spans="3:33" x14ac:dyDescent="0.3">
      <c r="C27">
        <v>8</v>
      </c>
      <c r="D27" s="37">
        <v>46235</v>
      </c>
      <c r="E27">
        <v>0</v>
      </c>
      <c r="F27">
        <f t="shared" si="4"/>
        <v>0</v>
      </c>
      <c r="K27" s="37"/>
      <c r="L27"/>
      <c r="N27" t="str">
        <f t="shared" si="6"/>
        <v/>
      </c>
      <c r="O27">
        <f t="shared" si="7"/>
        <v>0</v>
      </c>
      <c r="P27">
        <f>IF(IF(ISERROR(MATCH(K27,Rotation_Reset_Dates[Date],0)),0,1)=1,1,IF(ISBLANK(K27),"",IF(OR(rotationDays=1,K27&lt;First_Instructional_Day1),0,IF(AND(rotationDays&gt;1,K27=First_Instructional_Day1),1,IF(P26+IF(OR(N26="Instructional",N26="Not Scheduled"),1,0)&gt;rotationDays,1,P26+IF(OR(N26="Instructional",N26="Not Scheduled"),1,0))))))</f>
        <v>1</v>
      </c>
      <c r="Q27" t="str">
        <f t="shared" si="5"/>
        <v/>
      </c>
      <c r="R27" t="str">
        <f>IF(ISBLANK(K27),"",IF(N27="Operational (no students)",99,IF(N27="Instructional",IF(rotationDays=1,Q27,P27),_xlfn.XLOOKUP(N27,TimeTable_Codes[Description],TimeTable_Codes[TimetableCode]))))</f>
        <v/>
      </c>
      <c r="S27" t="str">
        <f>IF(NOT(ISBLANK(K27)),VLOOKUP(K27,term_lookups[],2),"")</f>
        <v/>
      </c>
      <c r="T27" cm="1">
        <f t="array" ref="T27">IF(ISBLANK(K27),0,_xlfn.XLOOKUP(R27&amp;S27,Daily_Totals[Day]&amp;Daily_Totals[Term],Daily_Totals[Instruction]))</f>
        <v>0</v>
      </c>
      <c r="U27" cm="1">
        <f t="array" ref="U27">IF(ISBLANK(K27),0,_xlfn.XLOOKUP(R27&amp;S27,Daily_Totals[Day]&amp;Daily_Totals[Term],Daily_Totals[Non-Instruction]))</f>
        <v>0</v>
      </c>
      <c r="AC27">
        <v>2</v>
      </c>
      <c r="AD27">
        <v>2</v>
      </c>
      <c r="AE27" s="42">
        <f>SUM(Term2_Day_2[Instructional Time])</f>
        <v>0</v>
      </c>
      <c r="AF27" s="42">
        <f>SUM(Term2_Day_2[Assigned Time (Non-Instructional)])</f>
        <v>0</v>
      </c>
      <c r="AG27" s="42">
        <f t="shared" si="8"/>
        <v>0</v>
      </c>
    </row>
    <row r="28" spans="3:33" x14ac:dyDescent="0.3">
      <c r="C28">
        <v>8</v>
      </c>
      <c r="D28" s="37" cm="1">
        <f t="array" ref="D28:D34">TRANSPOSE(Calendar!B15:H15)</f>
        <v>46236</v>
      </c>
      <c r="E28" cm="1">
        <f t="array" ref="E28:E34">TRANSPOSE(Calendar!B16:H16)</f>
        <v>0</v>
      </c>
      <c r="F28">
        <f t="shared" si="4"/>
        <v>0</v>
      </c>
      <c r="K28" s="37"/>
      <c r="L28"/>
      <c r="N28" t="str">
        <f t="shared" si="6"/>
        <v/>
      </c>
      <c r="O28">
        <f t="shared" si="7"/>
        <v>0</v>
      </c>
      <c r="P28">
        <f>IF(IF(ISERROR(MATCH(K28,Rotation_Reset_Dates[Date],0)),0,1)=1,1,IF(ISBLANK(K28),"",IF(OR(rotationDays=1,K28&lt;First_Instructional_Day1),0,IF(AND(rotationDays&gt;1,K28=First_Instructional_Day1),1,IF(P27+IF(OR(N27="Instructional",N27="Not Scheduled"),1,0)&gt;rotationDays,1,P27+IF(OR(N27="Instructional",N27="Not Scheduled"),1,0))))))</f>
        <v>1</v>
      </c>
      <c r="Q28" t="str">
        <f t="shared" si="5"/>
        <v/>
      </c>
      <c r="R28" t="str">
        <f>IF(ISBLANK(K28),"",IF(N28="Operational (no students)",99,IF(N28="Instructional",IF(rotationDays=1,Q28,P28),_xlfn.XLOOKUP(N28,TimeTable_Codes[Description],TimeTable_Codes[TimetableCode]))))</f>
        <v/>
      </c>
      <c r="S28" t="str">
        <f>IF(NOT(ISBLANK(K28)),VLOOKUP(K28,term_lookups[],2),"")</f>
        <v/>
      </c>
      <c r="T28" cm="1">
        <f t="array" ref="T28">IF(ISBLANK(K28),0,_xlfn.XLOOKUP(R28&amp;S28,Daily_Totals[Day]&amp;Daily_Totals[Term],Daily_Totals[Instruction]))</f>
        <v>0</v>
      </c>
      <c r="U28" cm="1">
        <f t="array" ref="U28">IF(ISBLANK(K28),0,_xlfn.XLOOKUP(R28&amp;S28,Daily_Totals[Day]&amp;Daily_Totals[Term],Daily_Totals[Non-Instruction]))</f>
        <v>0</v>
      </c>
      <c r="Y28" s="37"/>
      <c r="AC28">
        <v>3</v>
      </c>
      <c r="AD28">
        <v>2</v>
      </c>
      <c r="AE28" s="42">
        <f>SUM(Term2_Day_3[Instructional Time])</f>
        <v>0</v>
      </c>
      <c r="AF28" s="42">
        <f>SUM(Term2_Day_3[Assigned Time (Non-Instructional)])</f>
        <v>0</v>
      </c>
      <c r="AG28" s="42">
        <f t="shared" si="8"/>
        <v>0</v>
      </c>
    </row>
    <row r="29" spans="3:33" x14ac:dyDescent="0.3">
      <c r="C29">
        <v>8</v>
      </c>
      <c r="D29" s="37">
        <v>46237</v>
      </c>
      <c r="E29">
        <v>0</v>
      </c>
      <c r="F29">
        <f t="shared" si="4"/>
        <v>0</v>
      </c>
      <c r="K29" s="37"/>
      <c r="L29"/>
      <c r="N29" t="str">
        <f t="shared" si="6"/>
        <v/>
      </c>
      <c r="O29">
        <f t="shared" si="7"/>
        <v>0</v>
      </c>
      <c r="P29">
        <f>IF(IF(ISERROR(MATCH(K29,Rotation_Reset_Dates[Date],0)),0,1)=1,1,IF(ISBLANK(K29),"",IF(OR(rotationDays=1,K29&lt;First_Instructional_Day1),0,IF(AND(rotationDays&gt;1,K29=First_Instructional_Day1),1,IF(P28+IF(OR(N28="Instructional",N28="Not Scheduled"),1,0)&gt;rotationDays,1,P28+IF(OR(N28="Instructional",N28="Not Scheduled"),1,0))))))</f>
        <v>1</v>
      </c>
      <c r="Q29" t="str">
        <f t="shared" si="5"/>
        <v/>
      </c>
      <c r="R29" t="str">
        <f>IF(ISBLANK(K29),"",IF(N29="Operational (no students)",99,IF(N29="Instructional",IF(rotationDays=1,Q29,P29),_xlfn.XLOOKUP(N29,TimeTable_Codes[Description],TimeTable_Codes[TimetableCode]))))</f>
        <v/>
      </c>
      <c r="S29" t="str">
        <f>IF(NOT(ISBLANK(K29)),VLOOKUP(K29,term_lookups[],2),"")</f>
        <v/>
      </c>
      <c r="T29" cm="1">
        <f t="array" ref="T29">IF(ISBLANK(K29),0,_xlfn.XLOOKUP(R29&amp;S29,Daily_Totals[Day]&amp;Daily_Totals[Term],Daily_Totals[Instruction]))</f>
        <v>0</v>
      </c>
      <c r="U29" cm="1">
        <f t="array" ref="U29">IF(ISBLANK(K29),0,_xlfn.XLOOKUP(R29&amp;S29,Daily_Totals[Day]&amp;Daily_Totals[Term],Daily_Totals[Non-Instruction]))</f>
        <v>0</v>
      </c>
      <c r="AC29">
        <v>4</v>
      </c>
      <c r="AD29">
        <v>2</v>
      </c>
      <c r="AE29" s="42">
        <f>SUM(Term2_Day_4[Instructional Time])</f>
        <v>0</v>
      </c>
      <c r="AF29" s="42">
        <f>SUM(Term2_Day_4[Assigned Time (Non-Instructional)])</f>
        <v>0</v>
      </c>
      <c r="AG29" s="42">
        <f t="shared" si="8"/>
        <v>0</v>
      </c>
    </row>
    <row r="30" spans="3:33" x14ac:dyDescent="0.3">
      <c r="C30">
        <v>8</v>
      </c>
      <c r="D30" s="37">
        <v>46238</v>
      </c>
      <c r="E30">
        <v>0</v>
      </c>
      <c r="F30">
        <f t="shared" si="4"/>
        <v>0</v>
      </c>
      <c r="K30" s="37"/>
      <c r="L30"/>
      <c r="N30" t="str">
        <f t="shared" si="6"/>
        <v/>
      </c>
      <c r="O30">
        <f t="shared" si="7"/>
        <v>0</v>
      </c>
      <c r="P30">
        <f>IF(IF(ISERROR(MATCH(K30,Rotation_Reset_Dates[Date],0)),0,1)=1,1,IF(ISBLANK(K30),"",IF(OR(rotationDays=1,K30&lt;First_Instructional_Day1),0,IF(AND(rotationDays&gt;1,K30=First_Instructional_Day1),1,IF(P29+IF(OR(N29="Instructional",N29="Not Scheduled"),1,0)&gt;rotationDays,1,P29+IF(OR(N29="Instructional",N29="Not Scheduled"),1,0))))))</f>
        <v>1</v>
      </c>
      <c r="Q30" t="str">
        <f t="shared" si="5"/>
        <v/>
      </c>
      <c r="R30" t="str">
        <f>IF(ISBLANK(K30),"",IF(N30="Operational (no students)",99,IF(N30="Instructional",IF(rotationDays=1,Q30,P30),_xlfn.XLOOKUP(N30,TimeTable_Codes[Description],TimeTable_Codes[TimetableCode]))))</f>
        <v/>
      </c>
      <c r="S30" t="str">
        <f>IF(NOT(ISBLANK(K30)),VLOOKUP(K30,term_lookups[],2),"")</f>
        <v/>
      </c>
      <c r="T30" cm="1">
        <f t="array" ref="T30">IF(ISBLANK(K30),0,_xlfn.XLOOKUP(R30&amp;S30,Daily_Totals[Day]&amp;Daily_Totals[Term],Daily_Totals[Instruction]))</f>
        <v>0</v>
      </c>
      <c r="U30" cm="1">
        <f t="array" ref="U30">IF(ISBLANK(K30),0,_xlfn.XLOOKUP(R30&amp;S30,Daily_Totals[Day]&amp;Daily_Totals[Term],Daily_Totals[Non-Instruction]))</f>
        <v>0</v>
      </c>
      <c r="X30" s="37"/>
      <c r="AC30">
        <v>5</v>
      </c>
      <c r="AD30">
        <v>2</v>
      </c>
      <c r="AE30" s="42">
        <f>SUM(Term2_Day_5[Instructional Time])</f>
        <v>0</v>
      </c>
      <c r="AF30" s="42">
        <f>SUM(Term2_Day_5[Assigned Time (Non-Instructional)])</f>
        <v>0</v>
      </c>
      <c r="AG30" s="42">
        <f t="shared" si="8"/>
        <v>0</v>
      </c>
    </row>
    <row r="31" spans="3:33" x14ac:dyDescent="0.3">
      <c r="C31">
        <v>8</v>
      </c>
      <c r="D31" s="37">
        <v>46239</v>
      </c>
      <c r="E31">
        <v>0</v>
      </c>
      <c r="F31">
        <f t="shared" si="4"/>
        <v>0</v>
      </c>
      <c r="K31" s="37"/>
      <c r="L31"/>
      <c r="N31" t="str">
        <f t="shared" si="6"/>
        <v/>
      </c>
      <c r="O31">
        <f t="shared" si="7"/>
        <v>0</v>
      </c>
      <c r="P31">
        <f>IF(IF(ISERROR(MATCH(K31,Rotation_Reset_Dates[Date],0)),0,1)=1,1,IF(ISBLANK(K31),"",IF(OR(rotationDays=1,K31&lt;First_Instructional_Day1),0,IF(AND(rotationDays&gt;1,K31=First_Instructional_Day1),1,IF(P30+IF(OR(N30="Instructional",N30="Not Scheduled"),1,0)&gt;rotationDays,1,P30+IF(OR(N30="Instructional",N30="Not Scheduled"),1,0))))))</f>
        <v>1</v>
      </c>
      <c r="Q31" t="str">
        <f t="shared" si="5"/>
        <v/>
      </c>
      <c r="R31" t="str">
        <f>IF(ISBLANK(K31),"",IF(N31="Operational (no students)",99,IF(N31="Instructional",IF(rotationDays=1,Q31,P31),_xlfn.XLOOKUP(N31,TimeTable_Codes[Description],TimeTable_Codes[TimetableCode]))))</f>
        <v/>
      </c>
      <c r="S31" t="str">
        <f>IF(NOT(ISBLANK(K31)),VLOOKUP(K31,term_lookups[],2),"")</f>
        <v/>
      </c>
      <c r="T31" cm="1">
        <f t="array" ref="T31">IF(ISBLANK(K31),0,_xlfn.XLOOKUP(R31&amp;S31,Daily_Totals[Day]&amp;Daily_Totals[Term],Daily_Totals[Instruction]))</f>
        <v>0</v>
      </c>
      <c r="U31" cm="1">
        <f t="array" ref="U31">IF(ISBLANK(K31),0,_xlfn.XLOOKUP(R31&amp;S31,Daily_Totals[Day]&amp;Daily_Totals[Term],Daily_Totals[Non-Instruction]))</f>
        <v>0</v>
      </c>
      <c r="AC31">
        <v>6</v>
      </c>
      <c r="AD31">
        <v>2</v>
      </c>
      <c r="AE31" s="42">
        <f>SUM(Term2_Day_6[Instructional Time])</f>
        <v>0</v>
      </c>
      <c r="AF31" s="42">
        <f>SUM(Term2_Day_6[Assigned Time (Non-Instructional)])</f>
        <v>0</v>
      </c>
      <c r="AG31" s="42">
        <f t="shared" si="8"/>
        <v>0</v>
      </c>
    </row>
    <row r="32" spans="3:33" x14ac:dyDescent="0.3">
      <c r="C32">
        <v>8</v>
      </c>
      <c r="D32" s="37">
        <v>46240</v>
      </c>
      <c r="E32">
        <v>0</v>
      </c>
      <c r="F32">
        <f t="shared" si="4"/>
        <v>0</v>
      </c>
      <c r="K32" s="37"/>
      <c r="L32"/>
      <c r="N32" t="str">
        <f t="shared" si="6"/>
        <v/>
      </c>
      <c r="O32">
        <f t="shared" si="7"/>
        <v>0</v>
      </c>
      <c r="P32">
        <f>IF(IF(ISERROR(MATCH(K32,Rotation_Reset_Dates[Date],0)),0,1)=1,1,IF(ISBLANK(K32),"",IF(OR(rotationDays=1,K32&lt;First_Instructional_Day1),0,IF(AND(rotationDays&gt;1,K32=First_Instructional_Day1),1,IF(P31+IF(OR(N31="Instructional",N31="Not Scheduled"),1,0)&gt;rotationDays,1,P31+IF(OR(N31="Instructional",N31="Not Scheduled"),1,0))))))</f>
        <v>1</v>
      </c>
      <c r="Q32" t="str">
        <f t="shared" si="5"/>
        <v/>
      </c>
      <c r="R32" t="str">
        <f>IF(ISBLANK(K32),"",IF(N32="Operational (no students)",99,IF(N32="Instructional",IF(rotationDays=1,Q32,P32),_xlfn.XLOOKUP(N32,TimeTable_Codes[Description],TimeTable_Codes[TimetableCode]))))</f>
        <v/>
      </c>
      <c r="S32" t="str">
        <f>IF(NOT(ISBLANK(K32)),VLOOKUP(K32,term_lookups[],2),"")</f>
        <v/>
      </c>
      <c r="T32" cm="1">
        <f t="array" ref="T32">IF(ISBLANK(K32),0,_xlfn.XLOOKUP(R32&amp;S32,Daily_Totals[Day]&amp;Daily_Totals[Term],Daily_Totals[Instruction]))</f>
        <v>0</v>
      </c>
      <c r="U32" cm="1">
        <f t="array" ref="U32">IF(ISBLANK(K32),0,_xlfn.XLOOKUP(R32&amp;S32,Daily_Totals[Day]&amp;Daily_Totals[Term],Daily_Totals[Non-Instruction]))</f>
        <v>0</v>
      </c>
      <c r="AC32">
        <v>7</v>
      </c>
      <c r="AD32">
        <v>2</v>
      </c>
      <c r="AE32" s="42">
        <f>SUM(Term2_Day_7[Instructional Time])</f>
        <v>0</v>
      </c>
      <c r="AF32" s="42">
        <f>SUM(Term2_Day_7[Assigned Time (Non-Instructional)])</f>
        <v>0</v>
      </c>
      <c r="AG32" s="42">
        <f t="shared" ref="AG32:AG34" si="9">+AE32+AF32</f>
        <v>0</v>
      </c>
    </row>
    <row r="33" spans="3:33" x14ac:dyDescent="0.3">
      <c r="C33">
        <v>8</v>
      </c>
      <c r="D33" s="37">
        <v>46241</v>
      </c>
      <c r="E33">
        <v>0</v>
      </c>
      <c r="F33">
        <f t="shared" si="4"/>
        <v>0</v>
      </c>
      <c r="K33" s="37"/>
      <c r="L33"/>
      <c r="N33" t="str">
        <f t="shared" si="6"/>
        <v/>
      </c>
      <c r="O33">
        <f t="shared" si="7"/>
        <v>0</v>
      </c>
      <c r="P33">
        <f>IF(IF(ISERROR(MATCH(K33,Rotation_Reset_Dates[Date],0)),0,1)=1,1,IF(ISBLANK(K33),"",IF(OR(rotationDays=1,K33&lt;First_Instructional_Day1),0,IF(AND(rotationDays&gt;1,K33=First_Instructional_Day1),1,IF(P32+IF(OR(N32="Instructional",N32="Not Scheduled"),1,0)&gt;rotationDays,1,P32+IF(OR(N32="Instructional",N32="Not Scheduled"),1,0))))))</f>
        <v>1</v>
      </c>
      <c r="Q33" t="str">
        <f t="shared" si="5"/>
        <v/>
      </c>
      <c r="R33" t="str">
        <f>IF(ISBLANK(K33),"",IF(N33="Operational (no students)",99,IF(N33="Instructional",IF(rotationDays=1,Q33,P33),_xlfn.XLOOKUP(N33,TimeTable_Codes[Description],TimeTable_Codes[TimetableCode]))))</f>
        <v/>
      </c>
      <c r="S33" t="str">
        <f>IF(NOT(ISBLANK(K33)),VLOOKUP(K33,term_lookups[],2),"")</f>
        <v/>
      </c>
      <c r="T33" cm="1">
        <f t="array" ref="T33">IF(ISBLANK(K33),0,_xlfn.XLOOKUP(R33&amp;S33,Daily_Totals[Day]&amp;Daily_Totals[Term],Daily_Totals[Instruction]))</f>
        <v>0</v>
      </c>
      <c r="U33" cm="1">
        <f t="array" ref="U33">IF(ISBLANK(K33),0,_xlfn.XLOOKUP(R33&amp;S33,Daily_Totals[Day]&amp;Daily_Totals[Term],Daily_Totals[Non-Instruction]))</f>
        <v>0</v>
      </c>
      <c r="AC33">
        <v>8</v>
      </c>
      <c r="AD33">
        <v>2</v>
      </c>
      <c r="AE33" s="42">
        <f>SUM(Term2_Day_8[Instructional Time])</f>
        <v>0</v>
      </c>
      <c r="AF33" s="42">
        <f>SUM(Term2_Day_8[Assigned Time (Non-Instructional)])</f>
        <v>0</v>
      </c>
      <c r="AG33" s="42">
        <f t="shared" si="9"/>
        <v>0</v>
      </c>
    </row>
    <row r="34" spans="3:33" x14ac:dyDescent="0.3">
      <c r="C34">
        <v>8</v>
      </c>
      <c r="D34" s="37">
        <v>46242</v>
      </c>
      <c r="E34">
        <v>0</v>
      </c>
      <c r="F34">
        <f t="shared" si="4"/>
        <v>0</v>
      </c>
      <c r="K34" s="37"/>
      <c r="L34"/>
      <c r="N34" t="str">
        <f t="shared" si="6"/>
        <v/>
      </c>
      <c r="O34">
        <f t="shared" si="7"/>
        <v>0</v>
      </c>
      <c r="P34">
        <f>IF(IF(ISERROR(MATCH(K34,Rotation_Reset_Dates[Date],0)),0,1)=1,1,IF(ISBLANK(K34),"",IF(OR(rotationDays=1,K34&lt;First_Instructional_Day1),0,IF(AND(rotationDays&gt;1,K34=First_Instructional_Day1),1,IF(P33+IF(OR(N33="Instructional",N33="Not Scheduled"),1,0)&gt;rotationDays,1,P33+IF(OR(N33="Instructional",N33="Not Scheduled"),1,0))))))</f>
        <v>1</v>
      </c>
      <c r="Q34" t="str">
        <f t="shared" si="5"/>
        <v/>
      </c>
      <c r="R34" t="str">
        <f>IF(ISBLANK(K34),"",IF(N34="Operational (no students)",99,IF(N34="Instructional",IF(rotationDays=1,Q34,P34),_xlfn.XLOOKUP(N34,TimeTable_Codes[Description],TimeTable_Codes[TimetableCode]))))</f>
        <v/>
      </c>
      <c r="S34" t="str">
        <f>IF(NOT(ISBLANK(K34)),VLOOKUP(K34,term_lookups[],2),"")</f>
        <v/>
      </c>
      <c r="T34" cm="1">
        <f t="array" ref="T34">IF(ISBLANK(K34),0,_xlfn.XLOOKUP(R34&amp;S34,Daily_Totals[Day]&amp;Daily_Totals[Term],Daily_Totals[Instruction]))</f>
        <v>0</v>
      </c>
      <c r="U34" cm="1">
        <f t="array" ref="U34">IF(ISBLANK(K34),0,_xlfn.XLOOKUP(R34&amp;S34,Daily_Totals[Day]&amp;Daily_Totals[Term],Daily_Totals[Non-Instruction]))</f>
        <v>0</v>
      </c>
      <c r="AC34">
        <v>9</v>
      </c>
      <c r="AD34">
        <v>2</v>
      </c>
      <c r="AE34" s="42">
        <f>SUM(Term2_Day_9[Instructional Time])</f>
        <v>0</v>
      </c>
      <c r="AF34" s="42">
        <f>SUM(Term2_Day_9[Assigned Time (Non-Instructional)])</f>
        <v>0</v>
      </c>
      <c r="AG34" s="42">
        <f t="shared" si="9"/>
        <v>0</v>
      </c>
    </row>
    <row r="35" spans="3:33" x14ac:dyDescent="0.3">
      <c r="C35">
        <v>8</v>
      </c>
      <c r="D35" s="37" cm="1">
        <f t="array" ref="D35:D41">TRANSPOSE(Calendar!B17:H17)</f>
        <v>46243</v>
      </c>
      <c r="E35" cm="1">
        <f t="array" ref="E35:E41">TRANSPOSE(Calendar!B18:H18)</f>
        <v>0</v>
      </c>
      <c r="F35">
        <f t="shared" si="4"/>
        <v>0</v>
      </c>
      <c r="K35" s="37"/>
      <c r="L35"/>
      <c r="N35" t="str">
        <f t="shared" si="6"/>
        <v/>
      </c>
      <c r="O35">
        <f t="shared" si="7"/>
        <v>0</v>
      </c>
      <c r="P35">
        <f>IF(IF(ISERROR(MATCH(K35,Rotation_Reset_Dates[Date],0)),0,1)=1,1,IF(ISBLANK(K35),"",IF(OR(rotationDays=1,K35&lt;First_Instructional_Day1),0,IF(AND(rotationDays&gt;1,K35=First_Instructional_Day1),1,IF(P34+IF(OR(N34="Instructional",N34="Not Scheduled"),1,0)&gt;rotationDays,1,P34+IF(OR(N34="Instructional",N34="Not Scheduled"),1,0))))))</f>
        <v>1</v>
      </c>
      <c r="Q35" t="str">
        <f t="shared" si="5"/>
        <v/>
      </c>
      <c r="R35" t="str">
        <f>IF(ISBLANK(K35),"",IF(N35="Operational (no students)",99,IF(N35="Instructional",IF(rotationDays=1,Q35,P35),_xlfn.XLOOKUP(N35,TimeTable_Codes[Description],TimeTable_Codes[TimetableCode]))))</f>
        <v/>
      </c>
      <c r="S35" t="str">
        <f>IF(NOT(ISBLANK(K35)),VLOOKUP(K35,term_lookups[],2),"")</f>
        <v/>
      </c>
      <c r="T35" cm="1">
        <f t="array" ref="T35">IF(ISBLANK(K35),0,_xlfn.XLOOKUP(R35&amp;S35,Daily_Totals[Day]&amp;Daily_Totals[Term],Daily_Totals[Instruction]))</f>
        <v>0</v>
      </c>
      <c r="U35" cm="1">
        <f t="array" ref="U35">IF(ISBLANK(K35),0,_xlfn.XLOOKUP(R35&amp;S35,Daily_Totals[Day]&amp;Daily_Totals[Term],Daily_Totals[Non-Instruction]))</f>
        <v>0</v>
      </c>
      <c r="AC35">
        <v>10</v>
      </c>
      <c r="AD35">
        <v>2</v>
      </c>
      <c r="AE35" s="42">
        <f>SUM(Term2_Day_10[Instructional Time])</f>
        <v>0</v>
      </c>
      <c r="AF35" s="42">
        <f>SUM(Term2_Day_10[Assigned Time (Non-Instructional)])</f>
        <v>0</v>
      </c>
      <c r="AG35" s="42">
        <f t="shared" si="8"/>
        <v>0</v>
      </c>
    </row>
    <row r="36" spans="3:33" x14ac:dyDescent="0.3">
      <c r="C36">
        <v>8</v>
      </c>
      <c r="D36" s="37">
        <v>46244</v>
      </c>
      <c r="E36">
        <v>0</v>
      </c>
      <c r="F36">
        <f t="shared" si="4"/>
        <v>0</v>
      </c>
      <c r="K36" s="37"/>
      <c r="L36"/>
      <c r="N36" t="str">
        <f t="shared" si="6"/>
        <v/>
      </c>
      <c r="O36">
        <f t="shared" si="7"/>
        <v>0</v>
      </c>
      <c r="P36">
        <f>IF(IF(ISERROR(MATCH(K36,Rotation_Reset_Dates[Date],0)),0,1)=1,1,IF(ISBLANK(K36),"",IF(OR(rotationDays=1,K36&lt;First_Instructional_Day1),0,IF(AND(rotationDays&gt;1,K36=First_Instructional_Day1),1,IF(P35+IF(OR(N35="Instructional",N35="Not Scheduled"),1,0)&gt;rotationDays,1,P35+IF(OR(N35="Instructional",N35="Not Scheduled"),1,0))))))</f>
        <v>1</v>
      </c>
      <c r="Q36" t="str">
        <f t="shared" si="5"/>
        <v/>
      </c>
      <c r="R36" t="str">
        <f>IF(ISBLANK(K36),"",IF(N36="Operational (no students)",99,IF(N36="Instructional",IF(rotationDays=1,Q36,P36),_xlfn.XLOOKUP(N36,TimeTable_Codes[Description],TimeTable_Codes[TimetableCode]))))</f>
        <v/>
      </c>
      <c r="S36" t="str">
        <f>IF(NOT(ISBLANK(K36)),VLOOKUP(K36,term_lookups[],2),"")</f>
        <v/>
      </c>
      <c r="T36" cm="1">
        <f t="array" ref="T36">IF(ISBLANK(K36),0,_xlfn.XLOOKUP(R36&amp;S36,Daily_Totals[Day]&amp;Daily_Totals[Term],Daily_Totals[Instruction]))</f>
        <v>0</v>
      </c>
      <c r="U36" cm="1">
        <f t="array" ref="U36">IF(ISBLANK(K36),0,_xlfn.XLOOKUP(R36&amp;S36,Daily_Totals[Day]&amp;Daily_Totals[Term],Daily_Totals[Non-Instruction]))</f>
        <v>0</v>
      </c>
      <c r="AC36">
        <v>90</v>
      </c>
      <c r="AD36">
        <v>2</v>
      </c>
      <c r="AE36" s="42">
        <f>SUM(Term2_Early_Dismissal_1[Instructional Time])</f>
        <v>0</v>
      </c>
      <c r="AF36" s="42">
        <f>SUM(Term2_Early_Dismissal_1[Assigned Time (Non-Instructional)])</f>
        <v>0</v>
      </c>
      <c r="AG36">
        <f t="shared" si="8"/>
        <v>0</v>
      </c>
    </row>
    <row r="37" spans="3:33" x14ac:dyDescent="0.3">
      <c r="C37">
        <v>8</v>
      </c>
      <c r="D37" s="37">
        <v>46245</v>
      </c>
      <c r="E37">
        <v>0</v>
      </c>
      <c r="F37">
        <f t="shared" si="4"/>
        <v>0</v>
      </c>
      <c r="K37" s="37"/>
      <c r="L37"/>
      <c r="N37" t="str">
        <f t="shared" si="6"/>
        <v/>
      </c>
      <c r="O37">
        <f t="shared" si="7"/>
        <v>0</v>
      </c>
      <c r="P37">
        <f>IF(IF(ISERROR(MATCH(K37,Rotation_Reset_Dates[Date],0)),0,1)=1,1,IF(ISBLANK(K37),"",IF(OR(rotationDays=1,K37&lt;First_Instructional_Day1),0,IF(AND(rotationDays&gt;1,K37=First_Instructional_Day1),1,IF(P36+IF(OR(N36="Instructional",N36="Not Scheduled"),1,0)&gt;rotationDays,1,P36+IF(OR(N36="Instructional",N36="Not Scheduled"),1,0))))))</f>
        <v>1</v>
      </c>
      <c r="Q37" t="str">
        <f t="shared" si="5"/>
        <v/>
      </c>
      <c r="R37" t="str">
        <f>IF(ISBLANK(K37),"",IF(N37="Operational (no students)",99,IF(N37="Instructional",IF(rotationDays=1,Q37,P37),_xlfn.XLOOKUP(N37,TimeTable_Codes[Description],TimeTable_Codes[TimetableCode]))))</f>
        <v/>
      </c>
      <c r="S37" t="str">
        <f>IF(NOT(ISBLANK(K37)),VLOOKUP(K37,term_lookups[],2),"")</f>
        <v/>
      </c>
      <c r="T37" cm="1">
        <f t="array" ref="T37">IF(ISBLANK(K37),0,_xlfn.XLOOKUP(R37&amp;S37,Daily_Totals[Day]&amp;Daily_Totals[Term],Daily_Totals[Instruction]))</f>
        <v>0</v>
      </c>
      <c r="U37" cm="1">
        <f t="array" ref="U37">IF(ISBLANK(K37),0,_xlfn.XLOOKUP(R37&amp;S37,Daily_Totals[Day]&amp;Daily_Totals[Term],Daily_Totals[Non-Instruction]))</f>
        <v>0</v>
      </c>
      <c r="AC37">
        <v>91</v>
      </c>
      <c r="AD37">
        <v>2</v>
      </c>
      <c r="AE37" s="42">
        <f>SUM(Term2_Early_Dismissal_2[Instructional Time])</f>
        <v>0</v>
      </c>
      <c r="AF37" s="42">
        <f>SUM(Term2_Early_Dismissal_2[Assigned Time (Non-Instructional)])</f>
        <v>0</v>
      </c>
      <c r="AG37">
        <f t="shared" si="8"/>
        <v>0</v>
      </c>
    </row>
    <row r="38" spans="3:33" x14ac:dyDescent="0.3">
      <c r="C38">
        <v>8</v>
      </c>
      <c r="D38" s="37">
        <v>46246</v>
      </c>
      <c r="E38">
        <v>0</v>
      </c>
      <c r="F38">
        <f t="shared" si="4"/>
        <v>0</v>
      </c>
      <c r="K38" s="37"/>
      <c r="L38"/>
      <c r="N38" t="str">
        <f t="shared" si="6"/>
        <v/>
      </c>
      <c r="O38">
        <f t="shared" si="7"/>
        <v>0</v>
      </c>
      <c r="P38">
        <f>IF(IF(ISERROR(MATCH(K38,Rotation_Reset_Dates[Date],0)),0,1)=1,1,IF(ISBLANK(K38),"",IF(OR(rotationDays=1,K38&lt;First_Instructional_Day1),0,IF(AND(rotationDays&gt;1,K38=First_Instructional_Day1),1,IF(P37+IF(OR(N37="Instructional",N37="Not Scheduled"),1,0)&gt;rotationDays,1,P37+IF(OR(N37="Instructional",N37="Not Scheduled"),1,0))))))</f>
        <v>1</v>
      </c>
      <c r="Q38" t="str">
        <f t="shared" si="5"/>
        <v/>
      </c>
      <c r="R38" t="str">
        <f>IF(ISBLANK(K38),"",IF(N38="Operational (no students)",99,IF(N38="Instructional",IF(rotationDays=1,Q38,P38),_xlfn.XLOOKUP(N38,TimeTable_Codes[Description],TimeTable_Codes[TimetableCode]))))</f>
        <v/>
      </c>
      <c r="S38" t="str">
        <f>IF(NOT(ISBLANK(K38)),VLOOKUP(K38,term_lookups[],2),"")</f>
        <v/>
      </c>
      <c r="T38" cm="1">
        <f t="array" ref="T38">IF(ISBLANK(K38),0,_xlfn.XLOOKUP(R38&amp;S38,Daily_Totals[Day]&amp;Daily_Totals[Term],Daily_Totals[Instruction]))</f>
        <v>0</v>
      </c>
      <c r="U38" cm="1">
        <f t="array" ref="U38">IF(ISBLANK(K38),0,_xlfn.XLOOKUP(R38&amp;S38,Daily_Totals[Day]&amp;Daily_Totals[Term],Daily_Totals[Non-Instruction]))</f>
        <v>0</v>
      </c>
      <c r="AC38">
        <v>92</v>
      </c>
      <c r="AD38">
        <v>2</v>
      </c>
      <c r="AE38" s="42">
        <f>SUM(Term2_Early_Dismissal_3[Instructional Time])</f>
        <v>0</v>
      </c>
      <c r="AF38" s="42">
        <f>SUM(Term2_Early_Dismissal_3[Assigned Time (Non-Instructional)])</f>
        <v>0</v>
      </c>
      <c r="AG38">
        <f t="shared" si="8"/>
        <v>0</v>
      </c>
    </row>
    <row r="39" spans="3:33" x14ac:dyDescent="0.3">
      <c r="C39">
        <v>8</v>
      </c>
      <c r="D39" s="37">
        <v>46247</v>
      </c>
      <c r="E39">
        <v>0</v>
      </c>
      <c r="F39">
        <f t="shared" si="4"/>
        <v>0</v>
      </c>
      <c r="K39" s="37"/>
      <c r="L39"/>
      <c r="N39" t="str">
        <f t="shared" si="6"/>
        <v/>
      </c>
      <c r="O39">
        <f t="shared" si="7"/>
        <v>0</v>
      </c>
      <c r="P39">
        <f>IF(IF(ISERROR(MATCH(K39,Rotation_Reset_Dates[Date],0)),0,1)=1,1,IF(ISBLANK(K39),"",IF(OR(rotationDays=1,K39&lt;First_Instructional_Day1),0,IF(AND(rotationDays&gt;1,K39=First_Instructional_Day1),1,IF(P38+IF(OR(N38="Instructional",N38="Not Scheduled"),1,0)&gt;rotationDays,1,P38+IF(OR(N38="Instructional",N38="Not Scheduled"),1,0))))))</f>
        <v>1</v>
      </c>
      <c r="Q39" t="str">
        <f t="shared" si="5"/>
        <v/>
      </c>
      <c r="R39" t="str">
        <f>IF(ISBLANK(K39),"",IF(N39="Operational (no students)",99,IF(N39="Instructional",IF(rotationDays=1,Q39,P39),_xlfn.XLOOKUP(N39,TimeTable_Codes[Description],TimeTable_Codes[TimetableCode]))))</f>
        <v/>
      </c>
      <c r="S39" t="str">
        <f>IF(NOT(ISBLANK(K39)),VLOOKUP(K39,term_lookups[],2),"")</f>
        <v/>
      </c>
      <c r="T39" cm="1">
        <f t="array" ref="T39">IF(ISBLANK(K39),0,_xlfn.XLOOKUP(R39&amp;S39,Daily_Totals[Day]&amp;Daily_Totals[Term],Daily_Totals[Instruction]))</f>
        <v>0</v>
      </c>
      <c r="U39" cm="1">
        <f t="array" ref="U39">IF(ISBLANK(K39),0,_xlfn.XLOOKUP(R39&amp;S39,Daily_Totals[Day]&amp;Daily_Totals[Term],Daily_Totals[Non-Instruction]))</f>
        <v>0</v>
      </c>
      <c r="AC39">
        <v>93</v>
      </c>
      <c r="AD39">
        <v>2</v>
      </c>
      <c r="AE39" s="42">
        <f>SUM(Term2_Early_Dismissal_4[Instructional Time])</f>
        <v>0</v>
      </c>
      <c r="AF39" s="42">
        <f>SUM(Term2_Early_Dismissal_4[Assigned Time (Non-Instructional)])</f>
        <v>0</v>
      </c>
      <c r="AG39" s="42">
        <f t="shared" ref="AG39:AG41" si="10">+AE39+AF39</f>
        <v>0</v>
      </c>
    </row>
    <row r="40" spans="3:33" x14ac:dyDescent="0.3">
      <c r="C40">
        <v>8</v>
      </c>
      <c r="D40" s="37">
        <v>46248</v>
      </c>
      <c r="E40">
        <v>0</v>
      </c>
      <c r="F40">
        <f t="shared" si="4"/>
        <v>0</v>
      </c>
      <c r="K40" s="37"/>
      <c r="L40"/>
      <c r="N40" t="str">
        <f t="shared" si="6"/>
        <v/>
      </c>
      <c r="O40">
        <f t="shared" si="7"/>
        <v>0</v>
      </c>
      <c r="P40">
        <f>IF(IF(ISERROR(MATCH(K40,Rotation_Reset_Dates[Date],0)),0,1)=1,1,IF(ISBLANK(K40),"",IF(OR(rotationDays=1,K40&lt;First_Instructional_Day1),0,IF(AND(rotationDays&gt;1,K40=First_Instructional_Day1),1,IF(P39+IF(OR(N39="Instructional",N39="Not Scheduled"),1,0)&gt;rotationDays,1,P39+IF(OR(N39="Instructional",N39="Not Scheduled"),1,0))))))</f>
        <v>1</v>
      </c>
      <c r="Q40" t="str">
        <f t="shared" si="5"/>
        <v/>
      </c>
      <c r="R40" t="str">
        <f>IF(ISBLANK(K40),"",IF(N40="Operational (no students)",99,IF(N40="Instructional",IF(rotationDays=1,Q40,P40),_xlfn.XLOOKUP(N40,TimeTable_Codes[Description],TimeTable_Codes[TimetableCode]))))</f>
        <v/>
      </c>
      <c r="S40" t="str">
        <f>IF(NOT(ISBLANK(K40)),VLOOKUP(K40,term_lookups[],2),"")</f>
        <v/>
      </c>
      <c r="T40" cm="1">
        <f t="array" ref="T40">IF(ISBLANK(K40),0,_xlfn.XLOOKUP(R40&amp;S40,Daily_Totals[Day]&amp;Daily_Totals[Term],Daily_Totals[Instruction]))</f>
        <v>0</v>
      </c>
      <c r="U40" cm="1">
        <f t="array" ref="U40">IF(ISBLANK(K40),0,_xlfn.XLOOKUP(R40&amp;S40,Daily_Totals[Day]&amp;Daily_Totals[Term],Daily_Totals[Non-Instruction]))</f>
        <v>0</v>
      </c>
      <c r="AC40">
        <v>94</v>
      </c>
      <c r="AD40">
        <v>2</v>
      </c>
      <c r="AE40" s="42">
        <f>SUM(Term2_Early_Dismissal_5[Instructional Time])</f>
        <v>0</v>
      </c>
      <c r="AF40" s="42">
        <f>SUM(Term2_Early_Dismissal_5[Assigned Time (Non-Instructional)])</f>
        <v>0</v>
      </c>
      <c r="AG40" s="42">
        <f t="shared" si="10"/>
        <v>0</v>
      </c>
    </row>
    <row r="41" spans="3:33" x14ac:dyDescent="0.3">
      <c r="C41">
        <v>8</v>
      </c>
      <c r="D41" s="37">
        <v>46249</v>
      </c>
      <c r="E41">
        <v>0</v>
      </c>
      <c r="F41">
        <f t="shared" si="4"/>
        <v>0</v>
      </c>
      <c r="K41" s="37"/>
      <c r="L41"/>
      <c r="N41" t="str">
        <f t="shared" si="6"/>
        <v/>
      </c>
      <c r="O41">
        <f t="shared" si="7"/>
        <v>0</v>
      </c>
      <c r="P41">
        <f>IF(IF(ISERROR(MATCH(K41,Rotation_Reset_Dates[Date],0)),0,1)=1,1,IF(ISBLANK(K41),"",IF(OR(rotationDays=1,K41&lt;First_Instructional_Day1),0,IF(AND(rotationDays&gt;1,K41=First_Instructional_Day1),1,IF(P40+IF(OR(N40="Instructional",N40="Not Scheduled"),1,0)&gt;rotationDays,1,P40+IF(OR(N40="Instructional",N40="Not Scheduled"),1,0))))))</f>
        <v>1</v>
      </c>
      <c r="Q41" t="str">
        <f t="shared" si="5"/>
        <v/>
      </c>
      <c r="R41" t="str">
        <f>IF(ISBLANK(K41),"",IF(N41="Operational (no students)",99,IF(N41="Instructional",IF(rotationDays=1,Q41,P41),_xlfn.XLOOKUP(N41,TimeTable_Codes[Description],TimeTable_Codes[TimetableCode]))))</f>
        <v/>
      </c>
      <c r="S41" t="str">
        <f>IF(NOT(ISBLANK(K41)),VLOOKUP(K41,term_lookups[],2),"")</f>
        <v/>
      </c>
      <c r="T41" cm="1">
        <f t="array" ref="T41">IF(ISBLANK(K41),0,_xlfn.XLOOKUP(R41&amp;S41,Daily_Totals[Day]&amp;Daily_Totals[Term],Daily_Totals[Instruction]))</f>
        <v>0</v>
      </c>
      <c r="U41" cm="1">
        <f t="array" ref="U41">IF(ISBLANK(K41),0,_xlfn.XLOOKUP(R41&amp;S41,Daily_Totals[Day]&amp;Daily_Totals[Term],Daily_Totals[Non-Instruction]))</f>
        <v>0</v>
      </c>
      <c r="AC41">
        <v>95</v>
      </c>
      <c r="AD41">
        <v>2</v>
      </c>
      <c r="AE41" s="42">
        <f>SUM(Term2_Early_Dismissal_6[Instructional Time])</f>
        <v>0</v>
      </c>
      <c r="AF41" s="42">
        <f>SUM(Term2_Early_Dismissal_6[Assigned Time (Non-Instructional)])</f>
        <v>0</v>
      </c>
      <c r="AG41" s="42">
        <f t="shared" si="10"/>
        <v>0</v>
      </c>
    </row>
    <row r="42" spans="3:33" x14ac:dyDescent="0.3">
      <c r="C42">
        <v>8</v>
      </c>
      <c r="D42" s="37" cm="1">
        <f t="array" ref="D42:D48">TRANSPOSE(Calendar!B19:H19)</f>
        <v>46250</v>
      </c>
      <c r="E42" cm="1">
        <f t="array" ref="E42:E48">TRANSPOSE(Calendar!B20:H20)</f>
        <v>0</v>
      </c>
      <c r="F42">
        <f t="shared" si="4"/>
        <v>0</v>
      </c>
      <c r="K42" s="37"/>
      <c r="L42"/>
      <c r="N42" t="str">
        <f t="shared" si="6"/>
        <v/>
      </c>
      <c r="O42">
        <f t="shared" si="7"/>
        <v>0</v>
      </c>
      <c r="P42">
        <f>IF(IF(ISERROR(MATCH(K42,Rotation_Reset_Dates[Date],0)),0,1)=1,1,IF(ISBLANK(K42),"",IF(OR(rotationDays=1,K42&lt;First_Instructional_Day1),0,IF(AND(rotationDays&gt;1,K42=First_Instructional_Day1),1,IF(P41+IF(OR(N41="Instructional",N41="Not Scheduled"),1,0)&gt;rotationDays,1,P41+IF(OR(N41="Instructional",N41="Not Scheduled"),1,0))))))</f>
        <v>1</v>
      </c>
      <c r="Q42" t="str">
        <f t="shared" si="5"/>
        <v/>
      </c>
      <c r="R42" t="str">
        <f>IF(ISBLANK(K42),"",IF(N42="Operational (no students)",99,IF(N42="Instructional",IF(rotationDays=1,Q42,P42),_xlfn.XLOOKUP(N42,TimeTable_Codes[Description],TimeTable_Codes[TimetableCode]))))</f>
        <v/>
      </c>
      <c r="S42" t="str">
        <f>IF(NOT(ISBLANK(K42)),VLOOKUP(K42,term_lookups[],2),"")</f>
        <v/>
      </c>
      <c r="T42" cm="1">
        <f t="array" ref="T42">IF(ISBLANK(K42),0,_xlfn.XLOOKUP(R42&amp;S42,Daily_Totals[Day]&amp;Daily_Totals[Term],Daily_Totals[Instruction]))</f>
        <v>0</v>
      </c>
      <c r="U42" cm="1">
        <f t="array" ref="U42">IF(ISBLANK(K42),0,_xlfn.XLOOKUP(R42&amp;S42,Daily_Totals[Day]&amp;Daily_Totals[Term],Daily_Totals[Non-Instruction]))</f>
        <v>0</v>
      </c>
      <c r="AC42">
        <v>96</v>
      </c>
      <c r="AD42">
        <v>2</v>
      </c>
      <c r="AE42" s="42">
        <f>SUM(Term2_Special_Day_1[Instructional Time])</f>
        <v>0</v>
      </c>
      <c r="AF42" s="42">
        <f>SUM(Term2_Special_Day_1[Assigned Time (Non-Instructional)])</f>
        <v>0</v>
      </c>
      <c r="AG42">
        <f t="shared" si="8"/>
        <v>0</v>
      </c>
    </row>
    <row r="43" spans="3:33" x14ac:dyDescent="0.3">
      <c r="C43">
        <v>8</v>
      </c>
      <c r="D43" s="37">
        <v>46251</v>
      </c>
      <c r="E43">
        <v>0</v>
      </c>
      <c r="F43">
        <f t="shared" si="4"/>
        <v>0</v>
      </c>
      <c r="K43" s="37"/>
      <c r="L43"/>
      <c r="N43" t="str">
        <f t="shared" si="6"/>
        <v/>
      </c>
      <c r="O43">
        <f t="shared" si="7"/>
        <v>0</v>
      </c>
      <c r="P43">
        <f>IF(IF(ISERROR(MATCH(K43,Rotation_Reset_Dates[Date],0)),0,1)=1,1,IF(ISBLANK(K43),"",IF(OR(rotationDays=1,K43&lt;First_Instructional_Day1),0,IF(AND(rotationDays&gt;1,K43=First_Instructional_Day1),1,IF(P42+IF(OR(N42="Instructional",N42="Not Scheduled"),1,0)&gt;rotationDays,1,P42+IF(OR(N42="Instructional",N42="Not Scheduled"),1,0))))))</f>
        <v>1</v>
      </c>
      <c r="Q43" t="str">
        <f t="shared" si="5"/>
        <v/>
      </c>
      <c r="R43" t="str">
        <f>IF(ISBLANK(K43),"",IF(N43="Operational (no students)",99,IF(N43="Instructional",IF(rotationDays=1,Q43,P43),_xlfn.XLOOKUP(N43,TimeTable_Codes[Description],TimeTable_Codes[TimetableCode]))))</f>
        <v/>
      </c>
      <c r="S43" t="str">
        <f>IF(NOT(ISBLANK(K43)),VLOOKUP(K43,term_lookups[],2),"")</f>
        <v/>
      </c>
      <c r="T43" cm="1">
        <f t="array" ref="T43">IF(ISBLANK(K43),0,_xlfn.XLOOKUP(R43&amp;S43,Daily_Totals[Day]&amp;Daily_Totals[Term],Daily_Totals[Instruction]))</f>
        <v>0</v>
      </c>
      <c r="U43" cm="1">
        <f t="array" ref="U43">IF(ISBLANK(K43),0,_xlfn.XLOOKUP(R43&amp;S43,Daily_Totals[Day]&amp;Daily_Totals[Term],Daily_Totals[Non-Instruction]))</f>
        <v>0</v>
      </c>
      <c r="AC43">
        <v>97</v>
      </c>
      <c r="AD43">
        <v>2</v>
      </c>
      <c r="AE43" s="42">
        <f>SUM(Term2_Special_Day_2[Instructional Time])</f>
        <v>0</v>
      </c>
      <c r="AF43" s="42">
        <f>SUM(Term2_Special_Day_2[Assigned Time (Non-Instructional)])</f>
        <v>0</v>
      </c>
      <c r="AG43">
        <f t="shared" si="8"/>
        <v>0</v>
      </c>
    </row>
    <row r="44" spans="3:33" x14ac:dyDescent="0.3">
      <c r="C44">
        <v>8</v>
      </c>
      <c r="D44" s="37">
        <v>46252</v>
      </c>
      <c r="E44">
        <v>0</v>
      </c>
      <c r="F44">
        <f t="shared" si="4"/>
        <v>0</v>
      </c>
      <c r="K44" s="37"/>
      <c r="L44"/>
      <c r="N44" t="str">
        <f t="shared" si="6"/>
        <v/>
      </c>
      <c r="O44">
        <f t="shared" si="7"/>
        <v>0</v>
      </c>
      <c r="P44">
        <f>IF(IF(ISERROR(MATCH(K44,Rotation_Reset_Dates[Date],0)),0,1)=1,1,IF(ISBLANK(K44),"",IF(OR(rotationDays=1,K44&lt;First_Instructional_Day1),0,IF(AND(rotationDays&gt;1,K44=First_Instructional_Day1),1,IF(P43+IF(OR(N43="Instructional",N43="Not Scheduled"),1,0)&gt;rotationDays,1,P43+IF(OR(N43="Instructional",N43="Not Scheduled"),1,0))))))</f>
        <v>1</v>
      </c>
      <c r="Q44" t="str">
        <f t="shared" si="5"/>
        <v/>
      </c>
      <c r="R44" t="str">
        <f>IF(ISBLANK(K44),"",IF(N44="Operational (no students)",99,IF(N44="Instructional",IF(rotationDays=1,Q44,P44),_xlfn.XLOOKUP(N44,TimeTable_Codes[Description],TimeTable_Codes[TimetableCode]))))</f>
        <v/>
      </c>
      <c r="S44" t="str">
        <f>IF(NOT(ISBLANK(K44)),VLOOKUP(K44,term_lookups[],2),"")</f>
        <v/>
      </c>
      <c r="T44" cm="1">
        <f t="array" ref="T44">IF(ISBLANK(K44),0,_xlfn.XLOOKUP(R44&amp;S44,Daily_Totals[Day]&amp;Daily_Totals[Term],Daily_Totals[Instruction]))</f>
        <v>0</v>
      </c>
      <c r="U44" cm="1">
        <f t="array" ref="U44">IF(ISBLANK(K44),0,_xlfn.XLOOKUP(R44&amp;S44,Daily_Totals[Day]&amp;Daily_Totals[Term],Daily_Totals[Non-Instruction]))</f>
        <v>0</v>
      </c>
      <c r="AC44">
        <v>98</v>
      </c>
      <c r="AD44">
        <v>2</v>
      </c>
      <c r="AE44" s="42">
        <f>SUM(Term2_Special_Day_3[Instructional Time])</f>
        <v>0</v>
      </c>
      <c r="AF44" s="42">
        <f>SUM(Term2_Special_Day_3[Assigned Time (Non-Instructional)])</f>
        <v>0</v>
      </c>
      <c r="AG44">
        <f t="shared" si="8"/>
        <v>0</v>
      </c>
    </row>
    <row r="45" spans="3:33" x14ac:dyDescent="0.3">
      <c r="C45">
        <v>8</v>
      </c>
      <c r="D45" s="37">
        <v>46253</v>
      </c>
      <c r="E45">
        <v>0</v>
      </c>
      <c r="F45">
        <f t="shared" si="4"/>
        <v>0</v>
      </c>
      <c r="K45" s="37"/>
      <c r="L45"/>
      <c r="N45" t="str">
        <f t="shared" si="6"/>
        <v/>
      </c>
      <c r="O45">
        <f t="shared" si="7"/>
        <v>0</v>
      </c>
      <c r="P45">
        <f>IF(IF(ISERROR(MATCH(K45,Rotation_Reset_Dates[Date],0)),0,1)=1,1,IF(ISBLANK(K45),"",IF(OR(rotationDays=1,K45&lt;First_Instructional_Day1),0,IF(AND(rotationDays&gt;1,K45=First_Instructional_Day1),1,IF(P44+IF(OR(N44="Instructional",N44="Not Scheduled"),1,0)&gt;rotationDays,1,P44+IF(OR(N44="Instructional",N44="Not Scheduled"),1,0))))))</f>
        <v>1</v>
      </c>
      <c r="Q45" t="str">
        <f t="shared" si="5"/>
        <v/>
      </c>
      <c r="R45" t="str">
        <f>IF(ISBLANK(K45),"",IF(N45="Operational (no students)",99,IF(N45="Instructional",IF(rotationDays=1,Q45,P45),_xlfn.XLOOKUP(N45,TimeTable_Codes[Description],TimeTable_Codes[TimetableCode]))))</f>
        <v/>
      </c>
      <c r="S45" t="str">
        <f>IF(NOT(ISBLANK(K45)),VLOOKUP(K45,term_lookups[],2),"")</f>
        <v/>
      </c>
      <c r="T45" cm="1">
        <f t="array" ref="T45">IF(ISBLANK(K45),0,_xlfn.XLOOKUP(R45&amp;S45,Daily_Totals[Day]&amp;Daily_Totals[Term],Daily_Totals[Instruction]))</f>
        <v>0</v>
      </c>
      <c r="U45" cm="1">
        <f t="array" ref="U45">IF(ISBLANK(K45),0,_xlfn.XLOOKUP(R45&amp;S45,Daily_Totals[Day]&amp;Daily_Totals[Term],Daily_Totals[Non-Instruction]))</f>
        <v>0</v>
      </c>
      <c r="AC45">
        <v>99</v>
      </c>
      <c r="AD45">
        <v>2</v>
      </c>
      <c r="AE45">
        <v>0</v>
      </c>
      <c r="AF45">
        <f>IF(ISBLANK(PD_Length),360,PD_Length)</f>
        <v>360</v>
      </c>
      <c r="AG45">
        <f t="shared" si="8"/>
        <v>360</v>
      </c>
    </row>
    <row r="46" spans="3:33" x14ac:dyDescent="0.3">
      <c r="C46">
        <v>8</v>
      </c>
      <c r="D46" s="37">
        <v>46254</v>
      </c>
      <c r="E46">
        <v>0</v>
      </c>
      <c r="F46">
        <f t="shared" si="4"/>
        <v>0</v>
      </c>
      <c r="K46" s="37"/>
      <c r="L46"/>
      <c r="N46" t="str">
        <f t="shared" si="6"/>
        <v/>
      </c>
      <c r="O46">
        <f t="shared" si="7"/>
        <v>0</v>
      </c>
      <c r="P46">
        <f>IF(IF(ISERROR(MATCH(K46,Rotation_Reset_Dates[Date],0)),0,1)=1,1,IF(ISBLANK(K46),"",IF(OR(rotationDays=1,K46&lt;First_Instructional_Day1),0,IF(AND(rotationDays&gt;1,K46=First_Instructional_Day1),1,IF(P45+IF(OR(N45="Instructional",N45="Not Scheduled"),1,0)&gt;rotationDays,1,P45+IF(OR(N45="Instructional",N45="Not Scheduled"),1,0))))))</f>
        <v>1</v>
      </c>
      <c r="Q46" t="str">
        <f t="shared" si="5"/>
        <v/>
      </c>
      <c r="R46" t="str">
        <f>IF(ISBLANK(K46),"",IF(N46="Operational (no students)",99,IF(N46="Instructional",IF(rotationDays=1,Q46,P46),_xlfn.XLOOKUP(N46,TimeTable_Codes[Description],TimeTable_Codes[TimetableCode]))))</f>
        <v/>
      </c>
      <c r="S46" t="str">
        <f>IF(NOT(ISBLANK(K46)),VLOOKUP(K46,term_lookups[],2),"")</f>
        <v/>
      </c>
      <c r="T46" cm="1">
        <f t="array" ref="T46">IF(ISBLANK(K46),0,_xlfn.XLOOKUP(R46&amp;S46,Daily_Totals[Day]&amp;Daily_Totals[Term],Daily_Totals[Instruction]))</f>
        <v>0</v>
      </c>
      <c r="U46" cm="1">
        <f t="array" ref="U46">IF(ISBLANK(K46),0,_xlfn.XLOOKUP(R46&amp;S46,Daily_Totals[Day]&amp;Daily_Totals[Term],Daily_Totals[Non-Instruction]))</f>
        <v>0</v>
      </c>
      <c r="AC46">
        <v>100</v>
      </c>
      <c r="AD46">
        <v>2</v>
      </c>
      <c r="AE46">
        <v>0</v>
      </c>
      <c r="AF46">
        <f>IF(ISBLANK(Planning_Length),360,Planning_Length)</f>
        <v>360</v>
      </c>
      <c r="AG46" s="42">
        <f>+AE46+AF46</f>
        <v>360</v>
      </c>
    </row>
    <row r="47" spans="3:33" x14ac:dyDescent="0.3">
      <c r="C47">
        <v>8</v>
      </c>
      <c r="D47" s="37">
        <v>46255</v>
      </c>
      <c r="E47">
        <v>0</v>
      </c>
      <c r="F47">
        <f t="shared" si="4"/>
        <v>0</v>
      </c>
      <c r="K47" s="37"/>
      <c r="L47"/>
      <c r="N47" t="str">
        <f t="shared" si="6"/>
        <v/>
      </c>
      <c r="O47">
        <f t="shared" si="7"/>
        <v>0</v>
      </c>
      <c r="P47">
        <f>IF(IF(ISERROR(MATCH(K47,Rotation_Reset_Dates[Date],0)),0,1)=1,1,IF(ISBLANK(K47),"",IF(OR(rotationDays=1,K47&lt;First_Instructional_Day1),0,IF(AND(rotationDays&gt;1,K47=First_Instructional_Day1),1,IF(P46+IF(OR(N46="Instructional",N46="Not Scheduled"),1,0)&gt;rotationDays,1,P46+IF(OR(N46="Instructional",N46="Not Scheduled"),1,0))))))</f>
        <v>1</v>
      </c>
      <c r="Q47" t="str">
        <f t="shared" si="5"/>
        <v/>
      </c>
      <c r="R47" t="str">
        <f>IF(ISBLANK(K47),"",IF(N47="Operational (no students)",99,IF(N47="Instructional",IF(rotationDays=1,Q47,P47),_xlfn.XLOOKUP(N47,TimeTable_Codes[Description],TimeTable_Codes[TimetableCode]))))</f>
        <v/>
      </c>
      <c r="S47" t="str">
        <f>IF(NOT(ISBLANK(K47)),VLOOKUP(K47,term_lookups[],2),"")</f>
        <v/>
      </c>
      <c r="T47" cm="1">
        <f t="array" ref="T47">IF(ISBLANK(K47),0,_xlfn.XLOOKUP(R47&amp;S47,Daily_Totals[Day]&amp;Daily_Totals[Term],Daily_Totals[Instruction]))</f>
        <v>0</v>
      </c>
      <c r="U47" cm="1">
        <f t="array" ref="U47">IF(ISBLANK(K47),0,_xlfn.XLOOKUP(R47&amp;S47,Daily_Totals[Day]&amp;Daily_Totals[Term],Daily_Totals[Non-Instruction]))</f>
        <v>0</v>
      </c>
      <c r="AC47">
        <v>101</v>
      </c>
      <c r="AD47">
        <v>2</v>
      </c>
      <c r="AE47">
        <v>0</v>
      </c>
      <c r="AF47">
        <v>0</v>
      </c>
      <c r="AG47" s="42">
        <f>+AE47+AF47</f>
        <v>0</v>
      </c>
    </row>
    <row r="48" spans="3:33" x14ac:dyDescent="0.3">
      <c r="C48">
        <v>8</v>
      </c>
      <c r="D48" s="37">
        <v>46256</v>
      </c>
      <c r="E48">
        <v>0</v>
      </c>
      <c r="F48">
        <f t="shared" si="4"/>
        <v>0</v>
      </c>
      <c r="K48" s="37"/>
      <c r="L48"/>
      <c r="N48" t="str">
        <f t="shared" si="6"/>
        <v/>
      </c>
      <c r="O48">
        <f t="shared" si="7"/>
        <v>0</v>
      </c>
      <c r="P48">
        <f>IF(IF(ISERROR(MATCH(K48,Rotation_Reset_Dates[Date],0)),0,1)=1,1,IF(ISBLANK(K48),"",IF(OR(rotationDays=1,K48&lt;First_Instructional_Day1),0,IF(AND(rotationDays&gt;1,K48=First_Instructional_Day1),1,IF(P47+IF(OR(N47="Instructional",N47="Not Scheduled"),1,0)&gt;rotationDays,1,P47+IF(OR(N47="Instructional",N47="Not Scheduled"),1,0))))))</f>
        <v>1</v>
      </c>
      <c r="Q48" t="str">
        <f t="shared" si="5"/>
        <v/>
      </c>
      <c r="R48" t="str">
        <f>IF(ISBLANK(K48),"",IF(N48="Operational (no students)",99,IF(N48="Instructional",IF(rotationDays=1,Q48,P48),_xlfn.XLOOKUP(N48,TimeTable_Codes[Description],TimeTable_Codes[TimetableCode]))))</f>
        <v/>
      </c>
      <c r="S48" t="str">
        <f>IF(NOT(ISBLANK(K48)),VLOOKUP(K48,term_lookups[],2),"")</f>
        <v/>
      </c>
      <c r="T48" cm="1">
        <f t="array" ref="T48">IF(ISBLANK(K48),0,_xlfn.XLOOKUP(R48&amp;S48,Daily_Totals[Day]&amp;Daily_Totals[Term],Daily_Totals[Instruction]))</f>
        <v>0</v>
      </c>
      <c r="U48" cm="1">
        <f t="array" ref="U48">IF(ISBLANK(K48),0,_xlfn.XLOOKUP(R48&amp;S48,Daily_Totals[Day]&amp;Daily_Totals[Term],Daily_Totals[Non-Instruction]))</f>
        <v>0</v>
      </c>
      <c r="AC48">
        <v>1</v>
      </c>
      <c r="AD48">
        <v>3</v>
      </c>
      <c r="AE48" s="42">
        <f>SUM(Term3_Day_1[Instructional Time])</f>
        <v>0</v>
      </c>
      <c r="AF48" s="42">
        <f>SUM(Term3_Day_1[Assigned Time (Non-Instructional)])</f>
        <v>0</v>
      </c>
      <c r="AG48" s="42">
        <f t="shared" ref="AG48:AG67" si="11">+AE48+AF48</f>
        <v>0</v>
      </c>
    </row>
    <row r="49" spans="3:33" x14ac:dyDescent="0.3">
      <c r="C49">
        <v>8</v>
      </c>
      <c r="D49" s="37" cm="1">
        <f t="array" ref="D49:D55">TRANSPOSE(Calendar!B21:H21)</f>
        <v>46257</v>
      </c>
      <c r="E49" cm="1">
        <f t="array" ref="E49:E55">TRANSPOSE(Calendar!B22:H22)</f>
        <v>0</v>
      </c>
      <c r="F49">
        <f t="shared" si="4"/>
        <v>0</v>
      </c>
      <c r="K49" s="37"/>
      <c r="L49"/>
      <c r="N49" t="str">
        <f t="shared" si="6"/>
        <v/>
      </c>
      <c r="O49">
        <f t="shared" si="7"/>
        <v>0</v>
      </c>
      <c r="P49">
        <f>IF(IF(ISERROR(MATCH(K49,Rotation_Reset_Dates[Date],0)),0,1)=1,1,IF(ISBLANK(K49),"",IF(OR(rotationDays=1,K49&lt;First_Instructional_Day1),0,IF(AND(rotationDays&gt;1,K49=First_Instructional_Day1),1,IF(P48+IF(OR(N48="Instructional",N48="Not Scheduled"),1,0)&gt;rotationDays,1,P48+IF(OR(N48="Instructional",N48="Not Scheduled"),1,0))))))</f>
        <v>1</v>
      </c>
      <c r="Q49" t="str">
        <f t="shared" si="5"/>
        <v/>
      </c>
      <c r="R49" t="str">
        <f>IF(ISBLANK(K49),"",IF(N49="Operational (no students)",99,IF(N49="Instructional",IF(rotationDays=1,Q49,P49),_xlfn.XLOOKUP(N49,TimeTable_Codes[Description],TimeTable_Codes[TimetableCode]))))</f>
        <v/>
      </c>
      <c r="S49" t="str">
        <f>IF(NOT(ISBLANK(K49)),VLOOKUP(K49,term_lookups[],2),"")</f>
        <v/>
      </c>
      <c r="T49" cm="1">
        <f t="array" ref="T49">IF(ISBLANK(K49),0,_xlfn.XLOOKUP(R49&amp;S49,Daily_Totals[Day]&amp;Daily_Totals[Term],Daily_Totals[Instruction]))</f>
        <v>0</v>
      </c>
      <c r="U49" cm="1">
        <f t="array" ref="U49">IF(ISBLANK(K49),0,_xlfn.XLOOKUP(R49&amp;S49,Daily_Totals[Day]&amp;Daily_Totals[Term],Daily_Totals[Non-Instruction]))</f>
        <v>0</v>
      </c>
      <c r="AC49">
        <v>2</v>
      </c>
      <c r="AD49">
        <v>3</v>
      </c>
      <c r="AE49" s="42">
        <f>SUM(Term3_Day_2[Instructional Time])</f>
        <v>0</v>
      </c>
      <c r="AF49" s="42">
        <f>SUM(Term3_Day_2[Assigned Time (Non-Instructional)])</f>
        <v>0</v>
      </c>
      <c r="AG49" s="42">
        <f t="shared" si="11"/>
        <v>0</v>
      </c>
    </row>
    <row r="50" spans="3:33" x14ac:dyDescent="0.3">
      <c r="C50">
        <v>8</v>
      </c>
      <c r="D50" s="37">
        <v>46258</v>
      </c>
      <c r="E50">
        <v>0</v>
      </c>
      <c r="F50">
        <f t="shared" si="4"/>
        <v>0</v>
      </c>
      <c r="K50" s="37"/>
      <c r="L50"/>
      <c r="N50" t="str">
        <f t="shared" si="6"/>
        <v/>
      </c>
      <c r="O50">
        <f t="shared" si="7"/>
        <v>0</v>
      </c>
      <c r="P50">
        <f>IF(IF(ISERROR(MATCH(K50,Rotation_Reset_Dates[Date],0)),0,1)=1,1,IF(ISBLANK(K50),"",IF(OR(rotationDays=1,K50&lt;First_Instructional_Day1),0,IF(AND(rotationDays&gt;1,K50=First_Instructional_Day1),1,IF(P49+IF(OR(N49="Instructional",N49="Not Scheduled"),1,0)&gt;rotationDays,1,P49+IF(OR(N49="Instructional",N49="Not Scheduled"),1,0))))))</f>
        <v>1</v>
      </c>
      <c r="Q50" t="str">
        <f t="shared" si="5"/>
        <v/>
      </c>
      <c r="R50" t="str">
        <f>IF(ISBLANK(K50),"",IF(N50="Operational (no students)",99,IF(N50="Instructional",IF(rotationDays=1,Q50,P50),_xlfn.XLOOKUP(N50,TimeTable_Codes[Description],TimeTable_Codes[TimetableCode]))))</f>
        <v/>
      </c>
      <c r="S50" t="str">
        <f>IF(NOT(ISBLANK(K50)),VLOOKUP(K50,term_lookups[],2),"")</f>
        <v/>
      </c>
      <c r="T50" cm="1">
        <f t="array" ref="T50">IF(ISBLANK(K50),0,_xlfn.XLOOKUP(R50&amp;S50,Daily_Totals[Day]&amp;Daily_Totals[Term],Daily_Totals[Instruction]))</f>
        <v>0</v>
      </c>
      <c r="U50" cm="1">
        <f t="array" ref="U50">IF(ISBLANK(K50),0,_xlfn.XLOOKUP(R50&amp;S50,Daily_Totals[Day]&amp;Daily_Totals[Term],Daily_Totals[Non-Instruction]))</f>
        <v>0</v>
      </c>
      <c r="AC50">
        <v>3</v>
      </c>
      <c r="AD50">
        <v>3</v>
      </c>
      <c r="AE50" s="42">
        <f>SUM(Term3_Day_3[Instructional Time])</f>
        <v>0</v>
      </c>
      <c r="AF50" s="42">
        <f>SUM(Term3_Day_3[Assigned Time (Non-Instructional)])</f>
        <v>0</v>
      </c>
      <c r="AG50" s="42">
        <f t="shared" si="11"/>
        <v>0</v>
      </c>
    </row>
    <row r="51" spans="3:33" x14ac:dyDescent="0.3">
      <c r="C51">
        <v>8</v>
      </c>
      <c r="D51" s="37">
        <v>46259</v>
      </c>
      <c r="E51">
        <v>0</v>
      </c>
      <c r="F51">
        <f t="shared" si="4"/>
        <v>0</v>
      </c>
      <c r="K51" s="37"/>
      <c r="L51"/>
      <c r="N51" t="str">
        <f t="shared" si="6"/>
        <v/>
      </c>
      <c r="O51">
        <f t="shared" si="7"/>
        <v>0</v>
      </c>
      <c r="P51">
        <f>IF(IF(ISERROR(MATCH(K51,Rotation_Reset_Dates[Date],0)),0,1)=1,1,IF(ISBLANK(K51),"",IF(OR(rotationDays=1,K51&lt;First_Instructional_Day1),0,IF(AND(rotationDays&gt;1,K51=First_Instructional_Day1),1,IF(P50+IF(OR(N50="Instructional",N50="Not Scheduled"),1,0)&gt;rotationDays,1,P50+IF(OR(N50="Instructional",N50="Not Scheduled"),1,0))))))</f>
        <v>1</v>
      </c>
      <c r="Q51" t="str">
        <f t="shared" si="5"/>
        <v/>
      </c>
      <c r="R51" t="str">
        <f>IF(ISBLANK(K51),"",IF(N51="Operational (no students)",99,IF(N51="Instructional",IF(rotationDays=1,Q51,P51),_xlfn.XLOOKUP(N51,TimeTable_Codes[Description],TimeTable_Codes[TimetableCode]))))</f>
        <v/>
      </c>
      <c r="S51" t="str">
        <f>IF(NOT(ISBLANK(K51)),VLOOKUP(K51,term_lookups[],2),"")</f>
        <v/>
      </c>
      <c r="T51" cm="1">
        <f t="array" ref="T51">IF(ISBLANK(K51),0,_xlfn.XLOOKUP(R51&amp;S51,Daily_Totals[Day]&amp;Daily_Totals[Term],Daily_Totals[Instruction]))</f>
        <v>0</v>
      </c>
      <c r="U51" cm="1">
        <f t="array" ref="U51">IF(ISBLANK(K51),0,_xlfn.XLOOKUP(R51&amp;S51,Daily_Totals[Day]&amp;Daily_Totals[Term],Daily_Totals[Non-Instruction]))</f>
        <v>0</v>
      </c>
      <c r="AC51">
        <v>4</v>
      </c>
      <c r="AD51">
        <v>3</v>
      </c>
      <c r="AE51" s="42">
        <f>SUM(Term3_Day_4[Instructional Time])</f>
        <v>0</v>
      </c>
      <c r="AF51" s="42">
        <f>SUM(Term3_Day_4[Assigned Time (Non-Instructional)])</f>
        <v>0</v>
      </c>
      <c r="AG51" s="42">
        <f t="shared" si="11"/>
        <v>0</v>
      </c>
    </row>
    <row r="52" spans="3:33" x14ac:dyDescent="0.3">
      <c r="C52">
        <v>8</v>
      </c>
      <c r="D52" s="37">
        <v>46260</v>
      </c>
      <c r="E52">
        <v>0</v>
      </c>
      <c r="F52">
        <f t="shared" si="4"/>
        <v>0</v>
      </c>
      <c r="K52" s="37"/>
      <c r="L52"/>
      <c r="N52" t="str">
        <f t="shared" si="6"/>
        <v/>
      </c>
      <c r="O52">
        <f t="shared" si="7"/>
        <v>0</v>
      </c>
      <c r="P52">
        <f>IF(IF(ISERROR(MATCH(K52,Rotation_Reset_Dates[Date],0)),0,1)=1,1,IF(ISBLANK(K52),"",IF(OR(rotationDays=1,K52&lt;First_Instructional_Day1),0,IF(AND(rotationDays&gt;1,K52=First_Instructional_Day1),1,IF(P51+IF(OR(N51="Instructional",N51="Not Scheduled"),1,0)&gt;rotationDays,1,P51+IF(OR(N51="Instructional",N51="Not Scheduled"),1,0))))))</f>
        <v>1</v>
      </c>
      <c r="Q52" t="str">
        <f t="shared" si="5"/>
        <v/>
      </c>
      <c r="R52" t="str">
        <f>IF(ISBLANK(K52),"",IF(N52="Operational (no students)",99,IF(N52="Instructional",IF(rotationDays=1,Q52,P52),_xlfn.XLOOKUP(N52,TimeTable_Codes[Description],TimeTable_Codes[TimetableCode]))))</f>
        <v/>
      </c>
      <c r="S52" t="str">
        <f>IF(NOT(ISBLANK(K52)),VLOOKUP(K52,term_lookups[],2),"")</f>
        <v/>
      </c>
      <c r="T52" cm="1">
        <f t="array" ref="T52">IF(ISBLANK(K52),0,_xlfn.XLOOKUP(R52&amp;S52,Daily_Totals[Day]&amp;Daily_Totals[Term],Daily_Totals[Instruction]))</f>
        <v>0</v>
      </c>
      <c r="U52" cm="1">
        <f t="array" ref="U52">IF(ISBLANK(K52),0,_xlfn.XLOOKUP(R52&amp;S52,Daily_Totals[Day]&amp;Daily_Totals[Term],Daily_Totals[Non-Instruction]))</f>
        <v>0</v>
      </c>
      <c r="AC52">
        <v>5</v>
      </c>
      <c r="AD52">
        <v>3</v>
      </c>
      <c r="AE52" s="42">
        <f>SUM(Term3_Day_5[Instructional Time])</f>
        <v>0</v>
      </c>
      <c r="AF52" s="42">
        <f>SUM(Term3_Day_5[Assigned Time (Non-Instructional)])</f>
        <v>0</v>
      </c>
      <c r="AG52" s="42">
        <f t="shared" si="11"/>
        <v>0</v>
      </c>
    </row>
    <row r="53" spans="3:33" x14ac:dyDescent="0.3">
      <c r="C53">
        <v>8</v>
      </c>
      <c r="D53" s="37">
        <v>46261</v>
      </c>
      <c r="E53">
        <v>0</v>
      </c>
      <c r="F53">
        <f t="shared" si="4"/>
        <v>0</v>
      </c>
      <c r="K53" s="37"/>
      <c r="L53"/>
      <c r="N53" t="str">
        <f t="shared" si="6"/>
        <v/>
      </c>
      <c r="O53">
        <f t="shared" si="7"/>
        <v>0</v>
      </c>
      <c r="P53">
        <f>IF(IF(ISERROR(MATCH(K53,Rotation_Reset_Dates[Date],0)),0,1)=1,1,IF(ISBLANK(K53),"",IF(OR(rotationDays=1,K53&lt;First_Instructional_Day1),0,IF(AND(rotationDays&gt;1,K53=First_Instructional_Day1),1,IF(P52+IF(OR(N52="Instructional",N52="Not Scheduled"),1,0)&gt;rotationDays,1,P52+IF(OR(N52="Instructional",N52="Not Scheduled"),1,0))))))</f>
        <v>1</v>
      </c>
      <c r="Q53" t="str">
        <f t="shared" ref="Q53:Q84" si="12">IF(ISBLANK(K53),"",IF(K53&gt;=First_Instructional_Day1,WEEKDAY(K53)-1,0))</f>
        <v/>
      </c>
      <c r="R53" t="str">
        <f>IF(ISBLANK(K53),"",IF(N53="Operational (no students)",99,IF(N53="Instructional",IF(rotationDays=1,Q53,P53),_xlfn.XLOOKUP(N53,TimeTable_Codes[Description],TimeTable_Codes[TimetableCode]))))</f>
        <v/>
      </c>
      <c r="S53" t="str">
        <f>IF(NOT(ISBLANK(K53)),VLOOKUP(K53,term_lookups[],2),"")</f>
        <v/>
      </c>
      <c r="T53" cm="1">
        <f t="array" ref="T53">IF(ISBLANK(K53),0,_xlfn.XLOOKUP(R53&amp;S53,Daily_Totals[Day]&amp;Daily_Totals[Term],Daily_Totals[Instruction]))</f>
        <v>0</v>
      </c>
      <c r="U53" cm="1">
        <f t="array" ref="U53">IF(ISBLANK(K53),0,_xlfn.XLOOKUP(R53&amp;S53,Daily_Totals[Day]&amp;Daily_Totals[Term],Daily_Totals[Non-Instruction]))</f>
        <v>0</v>
      </c>
      <c r="AC53">
        <v>6</v>
      </c>
      <c r="AD53">
        <v>3</v>
      </c>
      <c r="AE53" s="42">
        <f>SUM(Term3_Day_6[Instructional Time])</f>
        <v>0</v>
      </c>
      <c r="AF53" s="42">
        <f>SUM(Term3_Day_6[Assigned Time (Non-Instructional)])</f>
        <v>0</v>
      </c>
      <c r="AG53" s="42">
        <f t="shared" si="11"/>
        <v>0</v>
      </c>
    </row>
    <row r="54" spans="3:33" x14ac:dyDescent="0.3">
      <c r="C54">
        <v>8</v>
      </c>
      <c r="D54" s="37">
        <v>46262</v>
      </c>
      <c r="E54">
        <v>0</v>
      </c>
      <c r="F54">
        <f t="shared" si="4"/>
        <v>0</v>
      </c>
      <c r="K54" s="37"/>
      <c r="L54"/>
      <c r="N54" t="str">
        <f t="shared" si="6"/>
        <v/>
      </c>
      <c r="O54">
        <f t="shared" si="7"/>
        <v>0</v>
      </c>
      <c r="P54">
        <f>IF(IF(ISERROR(MATCH(K54,Rotation_Reset_Dates[Date],0)),0,1)=1,1,IF(ISBLANK(K54),"",IF(OR(rotationDays=1,K54&lt;First_Instructional_Day1),0,IF(AND(rotationDays&gt;1,K54=First_Instructional_Day1),1,IF(P53+IF(OR(N53="Instructional",N53="Not Scheduled"),1,0)&gt;rotationDays,1,P53+IF(OR(N53="Instructional",N53="Not Scheduled"),1,0))))))</f>
        <v>1</v>
      </c>
      <c r="Q54" t="str">
        <f t="shared" si="12"/>
        <v/>
      </c>
      <c r="R54" t="str">
        <f>IF(ISBLANK(K54),"",IF(N54="Operational (no students)",99,IF(N54="Instructional",IF(rotationDays=1,Q54,P54),_xlfn.XLOOKUP(N54,TimeTable_Codes[Description],TimeTable_Codes[TimetableCode]))))</f>
        <v/>
      </c>
      <c r="S54" t="str">
        <f>IF(NOT(ISBLANK(K54)),VLOOKUP(K54,term_lookups[],2),"")</f>
        <v/>
      </c>
      <c r="T54" cm="1">
        <f t="array" ref="T54">IF(ISBLANK(K54),0,_xlfn.XLOOKUP(R54&amp;S54,Daily_Totals[Day]&amp;Daily_Totals[Term],Daily_Totals[Instruction]))</f>
        <v>0</v>
      </c>
      <c r="U54" cm="1">
        <f t="array" ref="U54">IF(ISBLANK(K54),0,_xlfn.XLOOKUP(R54&amp;S54,Daily_Totals[Day]&amp;Daily_Totals[Term],Daily_Totals[Non-Instruction]))</f>
        <v>0</v>
      </c>
      <c r="AC54">
        <v>7</v>
      </c>
      <c r="AD54">
        <v>3</v>
      </c>
      <c r="AE54" s="42">
        <f>SUM(Term3_Day_7[Instructional Time])</f>
        <v>0</v>
      </c>
      <c r="AF54" s="42">
        <f>SUM(Term3_Day_7[Assigned Time (Non-Instructional)])</f>
        <v>0</v>
      </c>
      <c r="AG54" s="42">
        <f t="shared" ref="AG54:AG56" si="13">+AE54+AF54</f>
        <v>0</v>
      </c>
    </row>
    <row r="55" spans="3:33" x14ac:dyDescent="0.3">
      <c r="C55">
        <v>8</v>
      </c>
      <c r="D55" s="37">
        <v>46263</v>
      </c>
      <c r="E55">
        <v>0</v>
      </c>
      <c r="F55">
        <f t="shared" si="4"/>
        <v>0</v>
      </c>
      <c r="K55" s="37"/>
      <c r="L55"/>
      <c r="N55" t="str">
        <f t="shared" si="6"/>
        <v/>
      </c>
      <c r="O55">
        <f t="shared" si="7"/>
        <v>0</v>
      </c>
      <c r="P55">
        <f>IF(IF(ISERROR(MATCH(K55,Rotation_Reset_Dates[Date],0)),0,1)=1,1,IF(ISBLANK(K55),"",IF(OR(rotationDays=1,K55&lt;First_Instructional_Day1),0,IF(AND(rotationDays&gt;1,K55=First_Instructional_Day1),1,IF(P54+IF(OR(N54="Instructional",N54="Not Scheduled"),1,0)&gt;rotationDays,1,P54+IF(OR(N54="Instructional",N54="Not Scheduled"),1,0))))))</f>
        <v>1</v>
      </c>
      <c r="Q55" t="str">
        <f t="shared" si="12"/>
        <v/>
      </c>
      <c r="R55" t="str">
        <f>IF(ISBLANK(K55),"",IF(N55="Operational (no students)",99,IF(N55="Instructional",IF(rotationDays=1,Q55,P55),_xlfn.XLOOKUP(N55,TimeTable_Codes[Description],TimeTable_Codes[TimetableCode]))))</f>
        <v/>
      </c>
      <c r="S55" t="str">
        <f>IF(NOT(ISBLANK(K55)),VLOOKUP(K55,term_lookups[],2),"")</f>
        <v/>
      </c>
      <c r="T55" cm="1">
        <f t="array" ref="T55">IF(ISBLANK(K55),0,_xlfn.XLOOKUP(R55&amp;S55,Daily_Totals[Day]&amp;Daily_Totals[Term],Daily_Totals[Instruction]))</f>
        <v>0</v>
      </c>
      <c r="U55" cm="1">
        <f t="array" ref="U55">IF(ISBLANK(K55),0,_xlfn.XLOOKUP(R55&amp;S55,Daily_Totals[Day]&amp;Daily_Totals[Term],Daily_Totals[Non-Instruction]))</f>
        <v>0</v>
      </c>
      <c r="AC55">
        <v>8</v>
      </c>
      <c r="AD55">
        <v>3</v>
      </c>
      <c r="AE55" s="42">
        <f>SUM(Term3_Day_8[Instructional Time])</f>
        <v>0</v>
      </c>
      <c r="AF55" s="42">
        <f>SUM(Term3_Day_8[Assigned Time (Non-Instructional)])</f>
        <v>0</v>
      </c>
      <c r="AG55" s="42">
        <f t="shared" si="13"/>
        <v>0</v>
      </c>
    </row>
    <row r="56" spans="3:33" x14ac:dyDescent="0.3">
      <c r="C56">
        <v>8</v>
      </c>
      <c r="D56" s="37" cm="1">
        <f t="array" ref="D56:D57">TRANSPOSE(Calendar!B23:C23)</f>
        <v>46264</v>
      </c>
      <c r="E56" cm="1">
        <f t="array" ref="E56:E57">TRANSPOSE(Calendar!B24:C24)</f>
        <v>0</v>
      </c>
      <c r="F56">
        <f t="shared" si="4"/>
        <v>0</v>
      </c>
      <c r="K56" s="37"/>
      <c r="L56"/>
      <c r="N56" t="str">
        <f t="shared" si="6"/>
        <v/>
      </c>
      <c r="O56">
        <f t="shared" si="7"/>
        <v>0</v>
      </c>
      <c r="P56">
        <f>IF(IF(ISERROR(MATCH(K56,Rotation_Reset_Dates[Date],0)),0,1)=1,1,IF(ISBLANK(K56),"",IF(OR(rotationDays=1,K56&lt;First_Instructional_Day1),0,IF(AND(rotationDays&gt;1,K56=First_Instructional_Day1),1,IF(P55+IF(OR(N55="Instructional",N55="Not Scheduled"),1,0)&gt;rotationDays,1,P55+IF(OR(N55="Instructional",N55="Not Scheduled"),1,0))))))</f>
        <v>1</v>
      </c>
      <c r="Q56" t="str">
        <f t="shared" si="12"/>
        <v/>
      </c>
      <c r="R56" t="str">
        <f>IF(ISBLANK(K56),"",IF(N56="Operational (no students)",99,IF(N56="Instructional",IF(rotationDays=1,Q56,P56),_xlfn.XLOOKUP(N56,TimeTable_Codes[Description],TimeTable_Codes[TimetableCode]))))</f>
        <v/>
      </c>
      <c r="S56" t="str">
        <f>IF(NOT(ISBLANK(K56)),VLOOKUP(K56,term_lookups[],2),"")</f>
        <v/>
      </c>
      <c r="T56" cm="1">
        <f t="array" ref="T56">IF(ISBLANK(K56),0,_xlfn.XLOOKUP(R56&amp;S56,Daily_Totals[Day]&amp;Daily_Totals[Term],Daily_Totals[Instruction]))</f>
        <v>0</v>
      </c>
      <c r="U56" cm="1">
        <f t="array" ref="U56">IF(ISBLANK(K56),0,_xlfn.XLOOKUP(R56&amp;S56,Daily_Totals[Day]&amp;Daily_Totals[Term],Daily_Totals[Non-Instruction]))</f>
        <v>0</v>
      </c>
      <c r="AC56">
        <v>9</v>
      </c>
      <c r="AD56">
        <v>3</v>
      </c>
      <c r="AE56" s="42">
        <f>SUM(Term3_Day_9[Instructional Time])</f>
        <v>0</v>
      </c>
      <c r="AF56" s="42">
        <f>SUM(Term3_Day_9[Assigned Time (Non-Instructional)])</f>
        <v>0</v>
      </c>
      <c r="AG56" s="42">
        <f t="shared" si="13"/>
        <v>0</v>
      </c>
    </row>
    <row r="57" spans="3:33" x14ac:dyDescent="0.3">
      <c r="C57">
        <v>8</v>
      </c>
      <c r="D57" s="37">
        <v>46265</v>
      </c>
      <c r="E57">
        <v>0</v>
      </c>
      <c r="F57">
        <f t="shared" si="4"/>
        <v>0</v>
      </c>
      <c r="K57" s="37"/>
      <c r="L57"/>
      <c r="N57" t="str">
        <f t="shared" si="6"/>
        <v/>
      </c>
      <c r="O57">
        <f t="shared" si="7"/>
        <v>0</v>
      </c>
      <c r="P57">
        <f>IF(IF(ISERROR(MATCH(K57,Rotation_Reset_Dates[Date],0)),0,1)=1,1,IF(ISBLANK(K57),"",IF(OR(rotationDays=1,K57&lt;First_Instructional_Day1),0,IF(AND(rotationDays&gt;1,K57=First_Instructional_Day1),1,IF(P56+IF(OR(N56="Instructional",N56="Not Scheduled"),1,0)&gt;rotationDays,1,P56+IF(OR(N56="Instructional",N56="Not Scheduled"),1,0))))))</f>
        <v>1</v>
      </c>
      <c r="Q57" t="str">
        <f t="shared" si="12"/>
        <v/>
      </c>
      <c r="R57" t="str">
        <f>IF(ISBLANK(K57),"",IF(N57="Operational (no students)",99,IF(N57="Instructional",IF(rotationDays=1,Q57,P57),_xlfn.XLOOKUP(N57,TimeTable_Codes[Description],TimeTable_Codes[TimetableCode]))))</f>
        <v/>
      </c>
      <c r="S57" t="str">
        <f>IF(NOT(ISBLANK(K57)),VLOOKUP(K57,term_lookups[],2),"")</f>
        <v/>
      </c>
      <c r="T57" cm="1">
        <f t="array" ref="T57">IF(ISBLANK(K57),0,_xlfn.XLOOKUP(R57&amp;S57,Daily_Totals[Day]&amp;Daily_Totals[Term],Daily_Totals[Instruction]))</f>
        <v>0</v>
      </c>
      <c r="U57" cm="1">
        <f t="array" ref="U57">IF(ISBLANK(K57),0,_xlfn.XLOOKUP(R57&amp;S57,Daily_Totals[Day]&amp;Daily_Totals[Term],Daily_Totals[Non-Instruction]))</f>
        <v>0</v>
      </c>
      <c r="AC57">
        <v>10</v>
      </c>
      <c r="AD57">
        <v>3</v>
      </c>
      <c r="AE57" s="42">
        <f>SUM(Term3_Day_10[Instructional Time])</f>
        <v>0</v>
      </c>
      <c r="AF57" s="42">
        <f>SUM(Term3_Day_10[Assigned Time (Non-Instructional)])</f>
        <v>0</v>
      </c>
      <c r="AG57" s="42">
        <f t="shared" si="11"/>
        <v>0</v>
      </c>
    </row>
    <row r="58" spans="3:33" x14ac:dyDescent="0.3">
      <c r="C58">
        <v>9</v>
      </c>
      <c r="D58" s="37" cm="1">
        <f t="array" ref="D58:D64">TRANSPOSE(Calendar!B29:H29)</f>
        <v>46264</v>
      </c>
      <c r="E58" cm="1">
        <f t="array" ref="E58:E64">TRANSPOSE(Calendar!B30:H30)</f>
        <v>0</v>
      </c>
      <c r="F58">
        <f t="shared" si="4"/>
        <v>0</v>
      </c>
      <c r="K58" s="37"/>
      <c r="L58"/>
      <c r="N58" t="str">
        <f t="shared" si="6"/>
        <v/>
      </c>
      <c r="O58">
        <f t="shared" si="7"/>
        <v>0</v>
      </c>
      <c r="P58">
        <f>IF(IF(ISERROR(MATCH(K58,Rotation_Reset_Dates[Date],0)),0,1)=1,1,IF(ISBLANK(K58),"",IF(OR(rotationDays=1,K58&lt;First_Instructional_Day1),0,IF(AND(rotationDays&gt;1,K58=First_Instructional_Day1),1,IF(P57+IF(OR(N57="Instructional",N57="Not Scheduled"),1,0)&gt;rotationDays,1,P57+IF(OR(N57="Instructional",N57="Not Scheduled"),1,0))))))</f>
        <v>1</v>
      </c>
      <c r="Q58" t="str">
        <f t="shared" si="12"/>
        <v/>
      </c>
      <c r="R58" t="str">
        <f>IF(ISBLANK(K58),"",IF(N58="Operational (no students)",99,IF(N58="Instructional",IF(rotationDays=1,Q58,P58),_xlfn.XLOOKUP(N58,TimeTable_Codes[Description],TimeTable_Codes[TimetableCode]))))</f>
        <v/>
      </c>
      <c r="S58" t="str">
        <f>IF(NOT(ISBLANK(K58)),VLOOKUP(K58,term_lookups[],2),"")</f>
        <v/>
      </c>
      <c r="T58" cm="1">
        <f t="array" ref="T58">IF(ISBLANK(K58),0,_xlfn.XLOOKUP(R58&amp;S58,Daily_Totals[Day]&amp;Daily_Totals[Term],Daily_Totals[Instruction]))</f>
        <v>0</v>
      </c>
      <c r="U58" cm="1">
        <f t="array" ref="U58">IF(ISBLANK(K58),0,_xlfn.XLOOKUP(R58&amp;S58,Daily_Totals[Day]&amp;Daily_Totals[Term],Daily_Totals[Non-Instruction]))</f>
        <v>0</v>
      </c>
      <c r="AC58">
        <v>90</v>
      </c>
      <c r="AD58">
        <v>3</v>
      </c>
      <c r="AE58" s="42">
        <f>SUM(Term3_Early_Dismissal_2[Instructional Time])</f>
        <v>0</v>
      </c>
      <c r="AF58" s="42">
        <f>SUM(Term3_Early_Dismissal_1[Assigned Time (Non-Instructional)])</f>
        <v>0</v>
      </c>
      <c r="AG58">
        <f t="shared" si="11"/>
        <v>0</v>
      </c>
    </row>
    <row r="59" spans="3:33" x14ac:dyDescent="0.3">
      <c r="C59">
        <v>9</v>
      </c>
      <c r="D59" s="37">
        <v>46265</v>
      </c>
      <c r="E59">
        <v>0</v>
      </c>
      <c r="F59">
        <f t="shared" si="4"/>
        <v>0</v>
      </c>
      <c r="K59" s="37"/>
      <c r="L59"/>
      <c r="N59" t="str">
        <f t="shared" si="6"/>
        <v/>
      </c>
      <c r="O59">
        <f t="shared" si="7"/>
        <v>0</v>
      </c>
      <c r="P59">
        <f>IF(IF(ISERROR(MATCH(K59,Rotation_Reset_Dates[Date],0)),0,1)=1,1,IF(ISBLANK(K59),"",IF(OR(rotationDays=1,K59&lt;First_Instructional_Day1),0,IF(AND(rotationDays&gt;1,K59=First_Instructional_Day1),1,IF(P58+IF(OR(N58="Instructional",N58="Not Scheduled"),1,0)&gt;rotationDays,1,P58+IF(OR(N58="Instructional",N58="Not Scheduled"),1,0))))))</f>
        <v>1</v>
      </c>
      <c r="Q59" t="str">
        <f t="shared" si="12"/>
        <v/>
      </c>
      <c r="R59" t="str">
        <f>IF(ISBLANK(K59),"",IF(N59="Operational (no students)",99,IF(N59="Instructional",IF(rotationDays=1,Q59,P59),_xlfn.XLOOKUP(N59,TimeTable_Codes[Description],TimeTable_Codes[TimetableCode]))))</f>
        <v/>
      </c>
      <c r="S59" t="str">
        <f>IF(NOT(ISBLANK(K59)),VLOOKUP(K59,term_lookups[],2),"")</f>
        <v/>
      </c>
      <c r="T59" cm="1">
        <f t="array" ref="T59">IF(ISBLANK(K59),0,_xlfn.XLOOKUP(R59&amp;S59,Daily_Totals[Day]&amp;Daily_Totals[Term],Daily_Totals[Instruction]))</f>
        <v>0</v>
      </c>
      <c r="U59" cm="1">
        <f t="array" ref="U59">IF(ISBLANK(K59),0,_xlfn.XLOOKUP(R59&amp;S59,Daily_Totals[Day]&amp;Daily_Totals[Term],Daily_Totals[Non-Instruction]))</f>
        <v>0</v>
      </c>
      <c r="AC59">
        <v>91</v>
      </c>
      <c r="AD59">
        <v>3</v>
      </c>
      <c r="AE59" s="42">
        <f>SUM(Term3_Early_Dismissal_1[Instructional Time])</f>
        <v>0</v>
      </c>
      <c r="AF59" s="42">
        <f>SUM(Term3_Early_Dismissal_2[Assigned Time (Non-Instructional)])</f>
        <v>0</v>
      </c>
      <c r="AG59">
        <f t="shared" si="11"/>
        <v>0</v>
      </c>
    </row>
    <row r="60" spans="3:33" x14ac:dyDescent="0.3">
      <c r="C60">
        <v>9</v>
      </c>
      <c r="D60" s="37">
        <v>46266</v>
      </c>
      <c r="E60">
        <v>0</v>
      </c>
      <c r="F60">
        <f t="shared" si="4"/>
        <v>0</v>
      </c>
      <c r="K60" s="37"/>
      <c r="L60"/>
      <c r="N60" t="str">
        <f t="shared" si="6"/>
        <v/>
      </c>
      <c r="O60">
        <f t="shared" si="7"/>
        <v>0</v>
      </c>
      <c r="P60">
        <f>IF(IF(ISERROR(MATCH(K60,Rotation_Reset_Dates[Date],0)),0,1)=1,1,IF(ISBLANK(K60),"",IF(OR(rotationDays=1,K60&lt;First_Instructional_Day1),0,IF(AND(rotationDays&gt;1,K60=First_Instructional_Day1),1,IF(P59+IF(OR(N59="Instructional",N59="Not Scheduled"),1,0)&gt;rotationDays,1,P59+IF(OR(N59="Instructional",N59="Not Scheduled"),1,0))))))</f>
        <v>1</v>
      </c>
      <c r="Q60" t="str">
        <f t="shared" si="12"/>
        <v/>
      </c>
      <c r="R60" t="str">
        <f>IF(ISBLANK(K60),"",IF(N60="Operational (no students)",99,IF(N60="Instructional",IF(rotationDays=1,Q60,P60),_xlfn.XLOOKUP(N60,TimeTable_Codes[Description],TimeTable_Codes[TimetableCode]))))</f>
        <v/>
      </c>
      <c r="S60" t="str">
        <f>IF(NOT(ISBLANK(K60)),VLOOKUP(K60,term_lookups[],2),"")</f>
        <v/>
      </c>
      <c r="T60" cm="1">
        <f t="array" ref="T60">IF(ISBLANK(K60),0,_xlfn.XLOOKUP(R60&amp;S60,Daily_Totals[Day]&amp;Daily_Totals[Term],Daily_Totals[Instruction]))</f>
        <v>0</v>
      </c>
      <c r="U60" cm="1">
        <f t="array" ref="U60">IF(ISBLANK(K60),0,_xlfn.XLOOKUP(R60&amp;S60,Daily_Totals[Day]&amp;Daily_Totals[Term],Daily_Totals[Non-Instruction]))</f>
        <v>0</v>
      </c>
      <c r="AC60">
        <v>92</v>
      </c>
      <c r="AD60">
        <v>3</v>
      </c>
      <c r="AE60" s="42">
        <f>SUM(Term3_Early_Dismissal_3[Instructional Time])</f>
        <v>0</v>
      </c>
      <c r="AF60" s="42">
        <f>SUM(Term3_Early_Dismissal_3[Assigned Time (Non-Instructional)])</f>
        <v>0</v>
      </c>
      <c r="AG60">
        <f t="shared" si="11"/>
        <v>0</v>
      </c>
    </row>
    <row r="61" spans="3:33" x14ac:dyDescent="0.3">
      <c r="C61">
        <v>9</v>
      </c>
      <c r="D61" s="37">
        <v>46267</v>
      </c>
      <c r="E61">
        <v>0</v>
      </c>
      <c r="F61">
        <f t="shared" si="4"/>
        <v>0</v>
      </c>
      <c r="K61" s="37"/>
      <c r="L61"/>
      <c r="N61" t="str">
        <f t="shared" si="6"/>
        <v/>
      </c>
      <c r="O61">
        <f t="shared" si="7"/>
        <v>0</v>
      </c>
      <c r="P61">
        <f>IF(IF(ISERROR(MATCH(K61,Rotation_Reset_Dates[Date],0)),0,1)=1,1,IF(ISBLANK(K61),"",IF(OR(rotationDays=1,K61&lt;First_Instructional_Day1),0,IF(AND(rotationDays&gt;1,K61=First_Instructional_Day1),1,IF(P60+IF(OR(N60="Instructional",N60="Not Scheduled"),1,0)&gt;rotationDays,1,P60+IF(OR(N60="Instructional",N60="Not Scheduled"),1,0))))))</f>
        <v>1</v>
      </c>
      <c r="Q61" t="str">
        <f t="shared" si="12"/>
        <v/>
      </c>
      <c r="R61" t="str">
        <f>IF(ISBLANK(K61),"",IF(N61="Operational (no students)",99,IF(N61="Instructional",IF(rotationDays=1,Q61,P61),_xlfn.XLOOKUP(N61,TimeTable_Codes[Description],TimeTable_Codes[TimetableCode]))))</f>
        <v/>
      </c>
      <c r="S61" t="str">
        <f>IF(NOT(ISBLANK(K61)),VLOOKUP(K61,term_lookups[],2),"")</f>
        <v/>
      </c>
      <c r="T61" cm="1">
        <f t="array" ref="T61">IF(ISBLANK(K61),0,_xlfn.XLOOKUP(R61&amp;S61,Daily_Totals[Day]&amp;Daily_Totals[Term],Daily_Totals[Instruction]))</f>
        <v>0</v>
      </c>
      <c r="U61" cm="1">
        <f t="array" ref="U61">IF(ISBLANK(K61),0,_xlfn.XLOOKUP(R61&amp;S61,Daily_Totals[Day]&amp;Daily_Totals[Term],Daily_Totals[Non-Instruction]))</f>
        <v>0</v>
      </c>
      <c r="AC61">
        <v>93</v>
      </c>
      <c r="AD61">
        <v>3</v>
      </c>
      <c r="AE61" s="42">
        <f>SUM(Term3_Early_Dismissal_4[Instructional Time])</f>
        <v>0</v>
      </c>
      <c r="AF61" s="42">
        <f>SUM(Term3_Early_Dismissal_4[Assigned Time (Non-Instructional)])</f>
        <v>0</v>
      </c>
      <c r="AG61">
        <f t="shared" si="11"/>
        <v>0</v>
      </c>
    </row>
    <row r="62" spans="3:33" x14ac:dyDescent="0.3">
      <c r="C62">
        <v>9</v>
      </c>
      <c r="D62" s="37">
        <v>46268</v>
      </c>
      <c r="E62">
        <v>0</v>
      </c>
      <c r="F62">
        <f t="shared" si="4"/>
        <v>0</v>
      </c>
      <c r="K62" s="37"/>
      <c r="L62"/>
      <c r="N62" t="str">
        <f t="shared" si="6"/>
        <v/>
      </c>
      <c r="O62">
        <f t="shared" si="7"/>
        <v>0</v>
      </c>
      <c r="P62">
        <f>IF(IF(ISERROR(MATCH(K62,Rotation_Reset_Dates[Date],0)),0,1)=1,1,IF(ISBLANK(K62),"",IF(OR(rotationDays=1,K62&lt;First_Instructional_Day1),0,IF(AND(rotationDays&gt;1,K62=First_Instructional_Day1),1,IF(P61+IF(OR(N61="Instructional",N61="Not Scheduled"),1,0)&gt;rotationDays,1,P61+IF(OR(N61="Instructional",N61="Not Scheduled"),1,0))))))</f>
        <v>1</v>
      </c>
      <c r="Q62" t="str">
        <f t="shared" si="12"/>
        <v/>
      </c>
      <c r="R62" t="str">
        <f>IF(ISBLANK(K62),"",IF(N62="Operational (no students)",99,IF(N62="Instructional",IF(rotationDays=1,Q62,P62),_xlfn.XLOOKUP(N62,TimeTable_Codes[Description],TimeTable_Codes[TimetableCode]))))</f>
        <v/>
      </c>
      <c r="S62" t="str">
        <f>IF(NOT(ISBLANK(K62)),VLOOKUP(K62,term_lookups[],2),"")</f>
        <v/>
      </c>
      <c r="T62" cm="1">
        <f t="array" ref="T62">IF(ISBLANK(K62),0,_xlfn.XLOOKUP(R62&amp;S62,Daily_Totals[Day]&amp;Daily_Totals[Term],Daily_Totals[Instruction]))</f>
        <v>0</v>
      </c>
      <c r="U62" cm="1">
        <f t="array" ref="U62">IF(ISBLANK(K62),0,_xlfn.XLOOKUP(R62&amp;S62,Daily_Totals[Day]&amp;Daily_Totals[Term],Daily_Totals[Non-Instruction]))</f>
        <v>0</v>
      </c>
      <c r="AC62">
        <v>94</v>
      </c>
      <c r="AD62">
        <v>3</v>
      </c>
      <c r="AE62" s="42">
        <f>SUM(Term3_Early_Dismissal_5[Instructional Time])</f>
        <v>0</v>
      </c>
      <c r="AF62" s="42">
        <f>SUM(Term3_Early_Dismissal_5[Assigned Time (Non-Instructional)])</f>
        <v>0</v>
      </c>
      <c r="AG62" s="42">
        <f t="shared" ref="AG62:AG64" si="14">+AE62+AF62</f>
        <v>0</v>
      </c>
    </row>
    <row r="63" spans="3:33" x14ac:dyDescent="0.3">
      <c r="C63">
        <v>9</v>
      </c>
      <c r="D63" s="37">
        <v>46269</v>
      </c>
      <c r="E63">
        <v>0</v>
      </c>
      <c r="F63">
        <f t="shared" si="4"/>
        <v>0</v>
      </c>
      <c r="K63" s="37"/>
      <c r="L63"/>
      <c r="N63" t="str">
        <f t="shared" si="6"/>
        <v/>
      </c>
      <c r="O63">
        <f t="shared" si="7"/>
        <v>0</v>
      </c>
      <c r="P63">
        <f>IF(IF(ISERROR(MATCH(K63,Rotation_Reset_Dates[Date],0)),0,1)=1,1,IF(ISBLANK(K63),"",IF(OR(rotationDays=1,K63&lt;First_Instructional_Day1),0,IF(AND(rotationDays&gt;1,K63=First_Instructional_Day1),1,IF(P62+IF(OR(N62="Instructional",N62="Not Scheduled"),1,0)&gt;rotationDays,1,P62+IF(OR(N62="Instructional",N62="Not Scheduled"),1,0))))))</f>
        <v>1</v>
      </c>
      <c r="Q63" t="str">
        <f t="shared" si="12"/>
        <v/>
      </c>
      <c r="R63" t="str">
        <f>IF(ISBLANK(K63),"",IF(N63="Operational (no students)",99,IF(N63="Instructional",IF(rotationDays=1,Q63,P63),_xlfn.XLOOKUP(N63,TimeTable_Codes[Description],TimeTable_Codes[TimetableCode]))))</f>
        <v/>
      </c>
      <c r="S63" t="str">
        <f>IF(NOT(ISBLANK(K63)),VLOOKUP(K63,term_lookups[],2),"")</f>
        <v/>
      </c>
      <c r="T63" cm="1">
        <f t="array" ref="T63">IF(ISBLANK(K63),0,_xlfn.XLOOKUP(R63&amp;S63,Daily_Totals[Day]&amp;Daily_Totals[Term],Daily_Totals[Instruction]))</f>
        <v>0</v>
      </c>
      <c r="U63" cm="1">
        <f t="array" ref="U63">IF(ISBLANK(K63),0,_xlfn.XLOOKUP(R63&amp;S63,Daily_Totals[Day]&amp;Daily_Totals[Term],Daily_Totals[Non-Instruction]))</f>
        <v>0</v>
      </c>
      <c r="AC63">
        <v>95</v>
      </c>
      <c r="AD63">
        <v>3</v>
      </c>
      <c r="AE63" s="42">
        <f>SUM(Term3_Early_Dismissal_6[Instructional Time])</f>
        <v>0</v>
      </c>
      <c r="AF63" s="42">
        <f>SUM(Term3_Early_Dismissal_6[Assigned Time (Non-Instructional)])</f>
        <v>0</v>
      </c>
      <c r="AG63" s="42">
        <f t="shared" si="14"/>
        <v>0</v>
      </c>
    </row>
    <row r="64" spans="3:33" x14ac:dyDescent="0.3">
      <c r="C64">
        <v>9</v>
      </c>
      <c r="D64" s="37">
        <v>46270</v>
      </c>
      <c r="E64">
        <v>0</v>
      </c>
      <c r="F64">
        <f t="shared" si="4"/>
        <v>0</v>
      </c>
      <c r="K64" s="37"/>
      <c r="L64"/>
      <c r="N64" t="str">
        <f t="shared" si="6"/>
        <v/>
      </c>
      <c r="O64">
        <f t="shared" si="7"/>
        <v>0</v>
      </c>
      <c r="P64">
        <f>IF(IF(ISERROR(MATCH(K64,Rotation_Reset_Dates[Date],0)),0,1)=1,1,IF(ISBLANK(K64),"",IF(OR(rotationDays=1,K64&lt;First_Instructional_Day1),0,IF(AND(rotationDays&gt;1,K64=First_Instructional_Day1),1,IF(P63+IF(OR(N63="Instructional",N63="Not Scheduled"),1,0)&gt;rotationDays,1,P63+IF(OR(N63="Instructional",N63="Not Scheduled"),1,0))))))</f>
        <v>1</v>
      </c>
      <c r="Q64" t="str">
        <f t="shared" si="12"/>
        <v/>
      </c>
      <c r="R64" t="str">
        <f>IF(ISBLANK(K64),"",IF(N64="Operational (no students)",99,IF(N64="Instructional",IF(rotationDays=1,Q64,P64),_xlfn.XLOOKUP(N64,TimeTable_Codes[Description],TimeTable_Codes[TimetableCode]))))</f>
        <v/>
      </c>
      <c r="S64" t="str">
        <f>IF(NOT(ISBLANK(K64)),VLOOKUP(K64,term_lookups[],2),"")</f>
        <v/>
      </c>
      <c r="T64" cm="1">
        <f t="array" ref="T64">IF(ISBLANK(K64),0,_xlfn.XLOOKUP(R64&amp;S64,Daily_Totals[Day]&amp;Daily_Totals[Term],Daily_Totals[Instruction]))</f>
        <v>0</v>
      </c>
      <c r="U64" cm="1">
        <f t="array" ref="U64">IF(ISBLANK(K64),0,_xlfn.XLOOKUP(R64&amp;S64,Daily_Totals[Day]&amp;Daily_Totals[Term],Daily_Totals[Non-Instruction]))</f>
        <v>0</v>
      </c>
      <c r="AC64">
        <v>96</v>
      </c>
      <c r="AD64">
        <v>3</v>
      </c>
      <c r="AE64" s="42">
        <f>SUM(Term3_Special_Day_1[Instructional Time])</f>
        <v>0</v>
      </c>
      <c r="AF64" s="42">
        <f>SUM(Term3_Special_Day_1[Assigned Time (Non-Instructional)])</f>
        <v>0</v>
      </c>
      <c r="AG64" s="42">
        <f t="shared" si="14"/>
        <v>0</v>
      </c>
    </row>
    <row r="65" spans="3:33" x14ac:dyDescent="0.3">
      <c r="C65">
        <v>9</v>
      </c>
      <c r="D65" s="37" cm="1">
        <f t="array" ref="D65:D71">TRANSPOSE(Calendar!B31:H31)</f>
        <v>46271</v>
      </c>
      <c r="E65" cm="1">
        <f t="array" ref="E65:E71">TRANSPOSE(Calendar!B32:H32)</f>
        <v>0</v>
      </c>
      <c r="F65">
        <f t="shared" si="4"/>
        <v>0</v>
      </c>
      <c r="K65" s="37"/>
      <c r="L65"/>
      <c r="N65" t="str">
        <f t="shared" si="6"/>
        <v/>
      </c>
      <c r="O65">
        <f t="shared" si="7"/>
        <v>0</v>
      </c>
      <c r="P65">
        <f>IF(IF(ISERROR(MATCH(K65,Rotation_Reset_Dates[Date],0)),0,1)=1,1,IF(ISBLANK(K65),"",IF(OR(rotationDays=1,K65&lt;First_Instructional_Day1),0,IF(AND(rotationDays&gt;1,K65=First_Instructional_Day1),1,IF(P64+IF(OR(N64="Instructional",N64="Not Scheduled"),1,0)&gt;rotationDays,1,P64+IF(OR(N64="Instructional",N64="Not Scheduled"),1,0))))))</f>
        <v>1</v>
      </c>
      <c r="Q65" t="str">
        <f t="shared" si="12"/>
        <v/>
      </c>
      <c r="R65" t="str">
        <f>IF(ISBLANK(K65),"",IF(N65="Operational (no students)",99,IF(N65="Instructional",IF(rotationDays=1,Q65,P65),_xlfn.XLOOKUP(N65,TimeTable_Codes[Description],TimeTable_Codes[TimetableCode]))))</f>
        <v/>
      </c>
      <c r="S65" t="str">
        <f>IF(NOT(ISBLANK(K65)),VLOOKUP(K65,term_lookups[],2),"")</f>
        <v/>
      </c>
      <c r="T65" cm="1">
        <f t="array" ref="T65">IF(ISBLANK(K65),0,_xlfn.XLOOKUP(R65&amp;S65,Daily_Totals[Day]&amp;Daily_Totals[Term],Daily_Totals[Instruction]))</f>
        <v>0</v>
      </c>
      <c r="U65" cm="1">
        <f t="array" ref="U65">IF(ISBLANK(K65),0,_xlfn.XLOOKUP(R65&amp;S65,Daily_Totals[Day]&amp;Daily_Totals[Term],Daily_Totals[Non-Instruction]))</f>
        <v>0</v>
      </c>
      <c r="AC65">
        <v>97</v>
      </c>
      <c r="AD65">
        <v>3</v>
      </c>
      <c r="AE65" s="42">
        <f>SUM(Term3_Special_Day_2[Instructional Time])</f>
        <v>0</v>
      </c>
      <c r="AF65" s="42">
        <f>SUM(Term3_Special_Day_2[Assigned Time (Non-Instructional)])</f>
        <v>0</v>
      </c>
      <c r="AG65">
        <f t="shared" si="11"/>
        <v>0</v>
      </c>
    </row>
    <row r="66" spans="3:33" x14ac:dyDescent="0.3">
      <c r="C66">
        <v>9</v>
      </c>
      <c r="D66" s="37">
        <v>46272</v>
      </c>
      <c r="E66" t="str">
        <v>Closed (non-operational)</v>
      </c>
      <c r="F66">
        <f t="shared" si="4"/>
        <v>0</v>
      </c>
      <c r="K66" s="37"/>
      <c r="L66"/>
      <c r="N66" t="str">
        <f t="shared" si="6"/>
        <v/>
      </c>
      <c r="O66">
        <f t="shared" si="7"/>
        <v>0</v>
      </c>
      <c r="P66">
        <f>IF(IF(ISERROR(MATCH(K66,Rotation_Reset_Dates[Date],0)),0,1)=1,1,IF(ISBLANK(K66),"",IF(OR(rotationDays=1,K66&lt;First_Instructional_Day1),0,IF(AND(rotationDays&gt;1,K66=First_Instructional_Day1),1,IF(P65+IF(OR(N65="Instructional",N65="Not Scheduled"),1,0)&gt;rotationDays,1,P65+IF(OR(N65="Instructional",N65="Not Scheduled"),1,0))))))</f>
        <v>1</v>
      </c>
      <c r="Q66" t="str">
        <f t="shared" si="12"/>
        <v/>
      </c>
      <c r="R66" t="str">
        <f>IF(ISBLANK(K66),"",IF(N66="Operational (no students)",99,IF(N66="Instructional",IF(rotationDays=1,Q66,P66),_xlfn.XLOOKUP(N66,TimeTable_Codes[Description],TimeTable_Codes[TimetableCode]))))</f>
        <v/>
      </c>
      <c r="S66" t="str">
        <f>IF(NOT(ISBLANK(K66)),VLOOKUP(K66,term_lookups[],2),"")</f>
        <v/>
      </c>
      <c r="T66" cm="1">
        <f t="array" ref="T66">IF(ISBLANK(K66),0,_xlfn.XLOOKUP(R66&amp;S66,Daily_Totals[Day]&amp;Daily_Totals[Term],Daily_Totals[Instruction]))</f>
        <v>0</v>
      </c>
      <c r="U66" cm="1">
        <f t="array" ref="U66">IF(ISBLANK(K66),0,_xlfn.XLOOKUP(R66&amp;S66,Daily_Totals[Day]&amp;Daily_Totals[Term],Daily_Totals[Non-Instruction]))</f>
        <v>0</v>
      </c>
      <c r="AC66">
        <v>98</v>
      </c>
      <c r="AD66">
        <v>3</v>
      </c>
      <c r="AE66" s="42">
        <f>SUM(Term3_Special_Day_3[Instructional Time])</f>
        <v>0</v>
      </c>
      <c r="AF66" s="42">
        <f>SUM(Term3_Special_Day_3[Assigned Time (Non-Instructional)])</f>
        <v>0</v>
      </c>
      <c r="AG66">
        <f t="shared" si="11"/>
        <v>0</v>
      </c>
    </row>
    <row r="67" spans="3:33" x14ac:dyDescent="0.3">
      <c r="C67">
        <v>9</v>
      </c>
      <c r="D67" s="37">
        <v>46273</v>
      </c>
      <c r="E67">
        <v>0</v>
      </c>
      <c r="F67">
        <f t="shared" si="4"/>
        <v>0</v>
      </c>
      <c r="K67" s="37"/>
      <c r="L67"/>
      <c r="N67" t="str">
        <f t="shared" si="6"/>
        <v/>
      </c>
      <c r="O67">
        <f t="shared" si="7"/>
        <v>0</v>
      </c>
      <c r="P67">
        <f>IF(IF(ISERROR(MATCH(K67,Rotation_Reset_Dates[Date],0)),0,1)=1,1,IF(ISBLANK(K67),"",IF(OR(rotationDays=1,K67&lt;First_Instructional_Day1),0,IF(AND(rotationDays&gt;1,K67=First_Instructional_Day1),1,IF(P66+IF(OR(N66="Instructional",N66="Not Scheduled"),1,0)&gt;rotationDays,1,P66+IF(OR(N66="Instructional",N66="Not Scheduled"),1,0))))))</f>
        <v>1</v>
      </c>
      <c r="Q67" t="str">
        <f t="shared" si="12"/>
        <v/>
      </c>
      <c r="R67" t="str">
        <f>IF(ISBLANK(K67),"",IF(N67="Operational (no students)",99,IF(N67="Instructional",IF(rotationDays=1,Q67,P67),_xlfn.XLOOKUP(N67,TimeTable_Codes[Description],TimeTable_Codes[TimetableCode]))))</f>
        <v/>
      </c>
      <c r="S67" t="str">
        <f>IF(NOT(ISBLANK(K67)),VLOOKUP(K67,term_lookups[],2),"")</f>
        <v/>
      </c>
      <c r="T67" cm="1">
        <f t="array" ref="T67">IF(ISBLANK(K67),0,_xlfn.XLOOKUP(R67&amp;S67,Daily_Totals[Day]&amp;Daily_Totals[Term],Daily_Totals[Instruction]))</f>
        <v>0</v>
      </c>
      <c r="U67" cm="1">
        <f t="array" ref="U67">IF(ISBLANK(K67),0,_xlfn.XLOOKUP(R67&amp;S67,Daily_Totals[Day]&amp;Daily_Totals[Term],Daily_Totals[Non-Instruction]))</f>
        <v>0</v>
      </c>
      <c r="AC67">
        <v>99</v>
      </c>
      <c r="AD67">
        <v>3</v>
      </c>
      <c r="AE67">
        <v>0</v>
      </c>
      <c r="AF67">
        <f>IF(ISBLANK(PD_Length),360,PD_Length)</f>
        <v>360</v>
      </c>
      <c r="AG67">
        <f t="shared" si="11"/>
        <v>360</v>
      </c>
    </row>
    <row r="68" spans="3:33" x14ac:dyDescent="0.3">
      <c r="C68">
        <v>9</v>
      </c>
      <c r="D68" s="37">
        <v>46274</v>
      </c>
      <c r="E68">
        <v>0</v>
      </c>
      <c r="F68">
        <f t="shared" si="4"/>
        <v>0</v>
      </c>
      <c r="K68" s="37"/>
      <c r="L68"/>
      <c r="N68" t="str">
        <f t="shared" si="6"/>
        <v/>
      </c>
      <c r="O68">
        <f t="shared" si="7"/>
        <v>0</v>
      </c>
      <c r="P68">
        <f>IF(IF(ISERROR(MATCH(K68,Rotation_Reset_Dates[Date],0)),0,1)=1,1,IF(ISBLANK(K68),"",IF(OR(rotationDays=1,K68&lt;First_Instructional_Day1),0,IF(AND(rotationDays&gt;1,K68=First_Instructional_Day1),1,IF(P67+IF(OR(N67="Instructional",N67="Not Scheduled"),1,0)&gt;rotationDays,1,P67+IF(OR(N67="Instructional",N67="Not Scheduled"),1,0))))))</f>
        <v>1</v>
      </c>
      <c r="Q68" t="str">
        <f t="shared" si="12"/>
        <v/>
      </c>
      <c r="R68" t="str">
        <f>IF(ISBLANK(K68),"",IF(N68="Operational (no students)",99,IF(N68="Instructional",IF(rotationDays=1,Q68,P68),_xlfn.XLOOKUP(N68,TimeTable_Codes[Description],TimeTable_Codes[TimetableCode]))))</f>
        <v/>
      </c>
      <c r="S68" t="str">
        <f>IF(NOT(ISBLANK(K68)),VLOOKUP(K68,term_lookups[],2),"")</f>
        <v/>
      </c>
      <c r="T68" cm="1">
        <f t="array" ref="T68">IF(ISBLANK(K68),0,_xlfn.XLOOKUP(R68&amp;S68,Daily_Totals[Day]&amp;Daily_Totals[Term],Daily_Totals[Instruction]))</f>
        <v>0</v>
      </c>
      <c r="U68" cm="1">
        <f t="array" ref="U68">IF(ISBLANK(K68),0,_xlfn.XLOOKUP(R68&amp;S68,Daily_Totals[Day]&amp;Daily_Totals[Term],Daily_Totals[Non-Instruction]))</f>
        <v>0</v>
      </c>
      <c r="AC68">
        <v>100</v>
      </c>
      <c r="AD68">
        <v>3</v>
      </c>
      <c r="AE68">
        <v>0</v>
      </c>
      <c r="AF68">
        <f>IF(ISBLANK(Planning_Length),360,Planning_Length)</f>
        <v>360</v>
      </c>
      <c r="AG68" s="42">
        <f>+AE68+AF68</f>
        <v>360</v>
      </c>
    </row>
    <row r="69" spans="3:33" x14ac:dyDescent="0.3">
      <c r="C69">
        <v>9</v>
      </c>
      <c r="D69" s="37">
        <v>46275</v>
      </c>
      <c r="E69">
        <v>0</v>
      </c>
      <c r="F69">
        <f t="shared" si="4"/>
        <v>0</v>
      </c>
      <c r="K69" s="37"/>
      <c r="L69"/>
      <c r="N69" t="str">
        <f t="shared" si="6"/>
        <v/>
      </c>
      <c r="O69">
        <f t="shared" si="7"/>
        <v>0</v>
      </c>
      <c r="P69">
        <f>IF(IF(ISERROR(MATCH(K69,Rotation_Reset_Dates[Date],0)),0,1)=1,1,IF(ISBLANK(K69),"",IF(OR(rotationDays=1,K69&lt;First_Instructional_Day1),0,IF(AND(rotationDays&gt;1,K69=First_Instructional_Day1),1,IF(P68+IF(OR(N68="Instructional",N68="Not Scheduled"),1,0)&gt;rotationDays,1,P68+IF(OR(N68="Instructional",N68="Not Scheduled"),1,0))))))</f>
        <v>1</v>
      </c>
      <c r="Q69" t="str">
        <f t="shared" si="12"/>
        <v/>
      </c>
      <c r="R69" t="str">
        <f>IF(ISBLANK(K69),"",IF(N69="Operational (no students)",99,IF(N69="Instructional",IF(rotationDays=1,Q69,P69),_xlfn.XLOOKUP(N69,TimeTable_Codes[Description],TimeTable_Codes[TimetableCode]))))</f>
        <v/>
      </c>
      <c r="S69" t="str">
        <f>IF(NOT(ISBLANK(K69)),VLOOKUP(K69,term_lookups[],2),"")</f>
        <v/>
      </c>
      <c r="T69" cm="1">
        <f t="array" ref="T69">IF(ISBLANK(K69),0,_xlfn.XLOOKUP(R69&amp;S69,Daily_Totals[Day]&amp;Daily_Totals[Term],Daily_Totals[Instruction]))</f>
        <v>0</v>
      </c>
      <c r="U69" cm="1">
        <f t="array" ref="U69">IF(ISBLANK(K69),0,_xlfn.XLOOKUP(R69&amp;S69,Daily_Totals[Day]&amp;Daily_Totals[Term],Daily_Totals[Non-Instruction]))</f>
        <v>0</v>
      </c>
      <c r="AC69">
        <v>101</v>
      </c>
      <c r="AD69">
        <v>3</v>
      </c>
      <c r="AE69">
        <v>0</v>
      </c>
      <c r="AF69">
        <v>0</v>
      </c>
      <c r="AG69" s="42">
        <f>+AE69+AF69</f>
        <v>0</v>
      </c>
    </row>
    <row r="70" spans="3:33" x14ac:dyDescent="0.3">
      <c r="C70">
        <v>9</v>
      </c>
      <c r="D70" s="37">
        <v>46276</v>
      </c>
      <c r="E70">
        <v>0</v>
      </c>
      <c r="F70">
        <f t="shared" si="4"/>
        <v>0</v>
      </c>
      <c r="K70" s="37"/>
      <c r="L70"/>
      <c r="N70" t="str">
        <f t="shared" si="6"/>
        <v/>
      </c>
      <c r="O70">
        <f t="shared" si="7"/>
        <v>0</v>
      </c>
      <c r="P70">
        <f>IF(IF(ISERROR(MATCH(K70,Rotation_Reset_Dates[Date],0)),0,1)=1,1,IF(ISBLANK(K70),"",IF(OR(rotationDays=1,K70&lt;First_Instructional_Day1),0,IF(AND(rotationDays&gt;1,K70=First_Instructional_Day1),1,IF(P69+IF(OR(N69="Instructional",N69="Not Scheduled"),1,0)&gt;rotationDays,1,P69+IF(OR(N69="Instructional",N69="Not Scheduled"),1,0))))))</f>
        <v>1</v>
      </c>
      <c r="Q70" t="str">
        <f t="shared" si="12"/>
        <v/>
      </c>
      <c r="R70" t="str">
        <f>IF(ISBLANK(K70),"",IF(N70="Operational (no students)",99,IF(N70="Instructional",IF(rotationDays=1,Q70,P70),_xlfn.XLOOKUP(N70,TimeTable_Codes[Description],TimeTable_Codes[TimetableCode]))))</f>
        <v/>
      </c>
      <c r="S70" t="str">
        <f>IF(NOT(ISBLANK(K70)),VLOOKUP(K70,term_lookups[],2),"")</f>
        <v/>
      </c>
      <c r="T70" cm="1">
        <f t="array" ref="T70">IF(ISBLANK(K70),0,_xlfn.XLOOKUP(R70&amp;S70,Daily_Totals[Day]&amp;Daily_Totals[Term],Daily_Totals[Instruction]))</f>
        <v>0</v>
      </c>
      <c r="U70" cm="1">
        <f t="array" ref="U70">IF(ISBLANK(K70),0,_xlfn.XLOOKUP(R70&amp;S70,Daily_Totals[Day]&amp;Daily_Totals[Term],Daily_Totals[Non-Instruction]))</f>
        <v>0</v>
      </c>
      <c r="AC70">
        <v>1</v>
      </c>
      <c r="AD70">
        <v>4</v>
      </c>
      <c r="AE70" s="42">
        <f>SUM(Term4_Day_1[Instructional Time])</f>
        <v>0</v>
      </c>
      <c r="AF70" s="42">
        <f>SUM(Term4_Day_1[Assigned Time (Non-Instructional)])</f>
        <v>0</v>
      </c>
      <c r="AG70" s="42">
        <f t="shared" ref="AG70:AG79" si="15">+AE70+AF70</f>
        <v>0</v>
      </c>
    </row>
    <row r="71" spans="3:33" x14ac:dyDescent="0.3">
      <c r="C71">
        <v>9</v>
      </c>
      <c r="D71" s="37">
        <v>46277</v>
      </c>
      <c r="E71">
        <v>0</v>
      </c>
      <c r="F71">
        <f t="shared" si="4"/>
        <v>0</v>
      </c>
      <c r="K71" s="37"/>
      <c r="L71"/>
      <c r="N71" t="str">
        <f t="shared" si="6"/>
        <v/>
      </c>
      <c r="O71">
        <f t="shared" si="7"/>
        <v>0</v>
      </c>
      <c r="P71">
        <f>IF(IF(ISERROR(MATCH(K71,Rotation_Reset_Dates[Date],0)),0,1)=1,1,IF(ISBLANK(K71),"",IF(OR(rotationDays=1,K71&lt;First_Instructional_Day1),0,IF(AND(rotationDays&gt;1,K71=First_Instructional_Day1),1,IF(P70+IF(OR(N70="Instructional",N70="Not Scheduled"),1,0)&gt;rotationDays,1,P70+IF(OR(N70="Instructional",N70="Not Scheduled"),1,0))))))</f>
        <v>1</v>
      </c>
      <c r="Q71" t="str">
        <f t="shared" si="12"/>
        <v/>
      </c>
      <c r="R71" t="str">
        <f>IF(ISBLANK(K71),"",IF(N71="Operational (no students)",99,IF(N71="Instructional",IF(rotationDays=1,Q71,P71),_xlfn.XLOOKUP(N71,TimeTable_Codes[Description],TimeTable_Codes[TimetableCode]))))</f>
        <v/>
      </c>
      <c r="S71" t="str">
        <f>IF(NOT(ISBLANK(K71)),VLOOKUP(K71,term_lookups[],2),"")</f>
        <v/>
      </c>
      <c r="T71" cm="1">
        <f t="array" ref="T71">IF(ISBLANK(K71),0,_xlfn.XLOOKUP(R71&amp;S71,Daily_Totals[Day]&amp;Daily_Totals[Term],Daily_Totals[Instruction]))</f>
        <v>0</v>
      </c>
      <c r="U71" cm="1">
        <f t="array" ref="U71">IF(ISBLANK(K71),0,_xlfn.XLOOKUP(R71&amp;S71,Daily_Totals[Day]&amp;Daily_Totals[Term],Daily_Totals[Non-Instruction]))</f>
        <v>0</v>
      </c>
      <c r="AC71">
        <v>2</v>
      </c>
      <c r="AD71">
        <v>4</v>
      </c>
      <c r="AE71" s="42">
        <f>SUM(Term4_Day_2[Instructional Time])</f>
        <v>0</v>
      </c>
      <c r="AF71" s="42">
        <f>SUM(Term4_Day_2[Assigned Time (Non-Instructional)])</f>
        <v>0</v>
      </c>
      <c r="AG71" s="42">
        <f t="shared" si="15"/>
        <v>0</v>
      </c>
    </row>
    <row r="72" spans="3:33" x14ac:dyDescent="0.3">
      <c r="C72">
        <v>9</v>
      </c>
      <c r="D72" s="37" cm="1">
        <f t="array" ref="D72:D78">TRANSPOSE(Calendar!B33:H33)</f>
        <v>46278</v>
      </c>
      <c r="E72" cm="1">
        <f t="array" ref="E72:E78">TRANSPOSE(Calendar!B34:H34)</f>
        <v>0</v>
      </c>
      <c r="F72">
        <f t="shared" si="4"/>
        <v>0</v>
      </c>
      <c r="K72" s="37"/>
      <c r="L72"/>
      <c r="N72" t="str">
        <f t="shared" si="6"/>
        <v/>
      </c>
      <c r="O72">
        <f t="shared" si="7"/>
        <v>0</v>
      </c>
      <c r="P72">
        <f>IF(IF(ISERROR(MATCH(K72,Rotation_Reset_Dates[Date],0)),0,1)=1,1,IF(ISBLANK(K72),"",IF(OR(rotationDays=1,K72&lt;First_Instructional_Day1),0,IF(AND(rotationDays&gt;1,K72=First_Instructional_Day1),1,IF(P71+IF(OR(N71="Instructional",N71="Not Scheduled"),1,0)&gt;rotationDays,1,P71+IF(OR(N71="Instructional",N71="Not Scheduled"),1,0))))))</f>
        <v>1</v>
      </c>
      <c r="Q72" t="str">
        <f t="shared" si="12"/>
        <v/>
      </c>
      <c r="R72" t="str">
        <f>IF(ISBLANK(K72),"",IF(N72="Operational (no students)",99,IF(N72="Instructional",IF(rotationDays=1,Q72,P72),_xlfn.XLOOKUP(N72,TimeTable_Codes[Description],TimeTable_Codes[TimetableCode]))))</f>
        <v/>
      </c>
      <c r="S72" t="str">
        <f>IF(NOT(ISBLANK(K72)),VLOOKUP(K72,term_lookups[],2),"")</f>
        <v/>
      </c>
      <c r="T72" cm="1">
        <f t="array" ref="T72">IF(ISBLANK(K72),0,_xlfn.XLOOKUP(R72&amp;S72,Daily_Totals[Day]&amp;Daily_Totals[Term],Daily_Totals[Instruction]))</f>
        <v>0</v>
      </c>
      <c r="U72" cm="1">
        <f t="array" ref="U72">IF(ISBLANK(K72),0,_xlfn.XLOOKUP(R72&amp;S72,Daily_Totals[Day]&amp;Daily_Totals[Term],Daily_Totals[Non-Instruction]))</f>
        <v>0</v>
      </c>
      <c r="AC72">
        <v>3</v>
      </c>
      <c r="AD72">
        <v>4</v>
      </c>
      <c r="AE72" s="42">
        <f>SUM(Term4_Day_3[Instructional Time])</f>
        <v>0</v>
      </c>
      <c r="AF72" s="42">
        <f>SUM(Term4_Day_3[Assigned Time (Non-Instructional)])</f>
        <v>0</v>
      </c>
      <c r="AG72" s="42">
        <f t="shared" si="15"/>
        <v>0</v>
      </c>
    </row>
    <row r="73" spans="3:33" x14ac:dyDescent="0.3">
      <c r="C73">
        <v>9</v>
      </c>
      <c r="D73" s="37">
        <v>46279</v>
      </c>
      <c r="E73">
        <v>0</v>
      </c>
      <c r="F73">
        <f t="shared" si="4"/>
        <v>0</v>
      </c>
      <c r="K73" s="37"/>
      <c r="L73"/>
      <c r="N73" t="str">
        <f t="shared" si="6"/>
        <v/>
      </c>
      <c r="O73">
        <f t="shared" si="7"/>
        <v>0</v>
      </c>
      <c r="P73">
        <f>IF(IF(ISERROR(MATCH(K73,Rotation_Reset_Dates[Date],0)),0,1)=1,1,IF(ISBLANK(K73),"",IF(OR(rotationDays=1,K73&lt;First_Instructional_Day1),0,IF(AND(rotationDays&gt;1,K73=First_Instructional_Day1),1,IF(P72+IF(OR(N72="Instructional",N72="Not Scheduled"),1,0)&gt;rotationDays,1,P72+IF(OR(N72="Instructional",N72="Not Scheduled"),1,0))))))</f>
        <v>1</v>
      </c>
      <c r="Q73" t="str">
        <f t="shared" si="12"/>
        <v/>
      </c>
      <c r="R73" t="str">
        <f>IF(ISBLANK(K73),"",IF(N73="Operational (no students)",99,IF(N73="Instructional",IF(rotationDays=1,Q73,P73),_xlfn.XLOOKUP(N73,TimeTable_Codes[Description],TimeTable_Codes[TimetableCode]))))</f>
        <v/>
      </c>
      <c r="S73" t="str">
        <f>IF(NOT(ISBLANK(K73)),VLOOKUP(K73,term_lookups[],2),"")</f>
        <v/>
      </c>
      <c r="T73" cm="1">
        <f t="array" ref="T73">IF(ISBLANK(K73),0,_xlfn.XLOOKUP(R73&amp;S73,Daily_Totals[Day]&amp;Daily_Totals[Term],Daily_Totals[Instruction]))</f>
        <v>0</v>
      </c>
      <c r="U73" cm="1">
        <f t="array" ref="U73">IF(ISBLANK(K73),0,_xlfn.XLOOKUP(R73&amp;S73,Daily_Totals[Day]&amp;Daily_Totals[Term],Daily_Totals[Non-Instruction]))</f>
        <v>0</v>
      </c>
      <c r="AC73">
        <v>4</v>
      </c>
      <c r="AD73">
        <v>4</v>
      </c>
      <c r="AE73" s="42">
        <f>SUM(Term4_Day_4[Instructional Time])</f>
        <v>0</v>
      </c>
      <c r="AF73" s="42">
        <f>SUM(Term4_Day_4[Assigned Time (Non-Instructional)])</f>
        <v>0</v>
      </c>
      <c r="AG73" s="42">
        <f t="shared" si="15"/>
        <v>0</v>
      </c>
    </row>
    <row r="74" spans="3:33" x14ac:dyDescent="0.3">
      <c r="C74">
        <v>9</v>
      </c>
      <c r="D74" s="37">
        <v>46280</v>
      </c>
      <c r="E74">
        <v>0</v>
      </c>
      <c r="F74">
        <f t="shared" si="4"/>
        <v>0</v>
      </c>
      <c r="K74" s="37"/>
      <c r="L74"/>
      <c r="N74" t="str">
        <f t="shared" si="6"/>
        <v/>
      </c>
      <c r="O74">
        <f t="shared" si="7"/>
        <v>0</v>
      </c>
      <c r="P74">
        <f>IF(IF(ISERROR(MATCH(K74,Rotation_Reset_Dates[Date],0)),0,1)=1,1,IF(ISBLANK(K74),"",IF(OR(rotationDays=1,K74&lt;First_Instructional_Day1),0,IF(AND(rotationDays&gt;1,K74=First_Instructional_Day1),1,IF(P73+IF(OR(N73="Instructional",N73="Not Scheduled"),1,0)&gt;rotationDays,1,P73+IF(OR(N73="Instructional",N73="Not Scheduled"),1,0))))))</f>
        <v>1</v>
      </c>
      <c r="Q74" t="str">
        <f t="shared" si="12"/>
        <v/>
      </c>
      <c r="R74" t="str">
        <f>IF(ISBLANK(K74),"",IF(N74="Operational (no students)",99,IF(N74="Instructional",IF(rotationDays=1,Q74,P74),_xlfn.XLOOKUP(N74,TimeTable_Codes[Description],TimeTable_Codes[TimetableCode]))))</f>
        <v/>
      </c>
      <c r="S74" t="str">
        <f>IF(NOT(ISBLANK(K74)),VLOOKUP(K74,term_lookups[],2),"")</f>
        <v/>
      </c>
      <c r="T74" cm="1">
        <f t="array" ref="T74">IF(ISBLANK(K74),0,_xlfn.XLOOKUP(R74&amp;S74,Daily_Totals[Day]&amp;Daily_Totals[Term],Daily_Totals[Instruction]))</f>
        <v>0</v>
      </c>
      <c r="U74" cm="1">
        <f t="array" ref="U74">IF(ISBLANK(K74),0,_xlfn.XLOOKUP(R74&amp;S74,Daily_Totals[Day]&amp;Daily_Totals[Term],Daily_Totals[Non-Instruction]))</f>
        <v>0</v>
      </c>
      <c r="AC74">
        <v>5</v>
      </c>
      <c r="AD74">
        <v>4</v>
      </c>
      <c r="AE74" s="42">
        <f>SUM(Term4_Day_5[Instructional Time])</f>
        <v>0</v>
      </c>
      <c r="AF74" s="42">
        <f>SUM(Term4_Day_5[Assigned Time (Non-Instructional)])</f>
        <v>0</v>
      </c>
      <c r="AG74" s="42">
        <f t="shared" si="15"/>
        <v>0</v>
      </c>
    </row>
    <row r="75" spans="3:33" x14ac:dyDescent="0.3">
      <c r="C75">
        <v>9</v>
      </c>
      <c r="D75" s="37">
        <v>46281</v>
      </c>
      <c r="E75">
        <v>0</v>
      </c>
      <c r="F75">
        <f t="shared" si="4"/>
        <v>0</v>
      </c>
      <c r="K75" s="37"/>
      <c r="L75"/>
      <c r="N75" t="str">
        <f t="shared" si="6"/>
        <v/>
      </c>
      <c r="O75">
        <f t="shared" si="7"/>
        <v>0</v>
      </c>
      <c r="P75">
        <f>IF(IF(ISERROR(MATCH(K75,Rotation_Reset_Dates[Date],0)),0,1)=1,1,IF(ISBLANK(K75),"",IF(OR(rotationDays=1,K75&lt;First_Instructional_Day1),0,IF(AND(rotationDays&gt;1,K75=First_Instructional_Day1),1,IF(P74+IF(OR(N74="Instructional",N74="Not Scheduled"),1,0)&gt;rotationDays,1,P74+IF(OR(N74="Instructional",N74="Not Scheduled"),1,0))))))</f>
        <v>1</v>
      </c>
      <c r="Q75" t="str">
        <f t="shared" si="12"/>
        <v/>
      </c>
      <c r="R75" t="str">
        <f>IF(ISBLANK(K75),"",IF(N75="Operational (no students)",99,IF(N75="Instructional",IF(rotationDays=1,Q75,P75),_xlfn.XLOOKUP(N75,TimeTable_Codes[Description],TimeTable_Codes[TimetableCode]))))</f>
        <v/>
      </c>
      <c r="S75" t="str">
        <f>IF(NOT(ISBLANK(K75)),VLOOKUP(K75,term_lookups[],2),"")</f>
        <v/>
      </c>
      <c r="T75" cm="1">
        <f t="array" ref="T75">IF(ISBLANK(K75),0,_xlfn.XLOOKUP(R75&amp;S75,Daily_Totals[Day]&amp;Daily_Totals[Term],Daily_Totals[Instruction]))</f>
        <v>0</v>
      </c>
      <c r="U75" cm="1">
        <f t="array" ref="U75">IF(ISBLANK(K75),0,_xlfn.XLOOKUP(R75&amp;S75,Daily_Totals[Day]&amp;Daily_Totals[Term],Daily_Totals[Non-Instruction]))</f>
        <v>0</v>
      </c>
      <c r="AC75">
        <v>6</v>
      </c>
      <c r="AD75">
        <v>4</v>
      </c>
      <c r="AE75" s="42">
        <f>SUM(Term4_Day_6[Instructional Time])</f>
        <v>0</v>
      </c>
      <c r="AF75" s="42">
        <f>SUM(Term4_Day_6[Assigned Time (Non-Instructional)])</f>
        <v>0</v>
      </c>
      <c r="AG75" s="42">
        <f t="shared" si="15"/>
        <v>0</v>
      </c>
    </row>
    <row r="76" spans="3:33" x14ac:dyDescent="0.3">
      <c r="C76">
        <v>9</v>
      </c>
      <c r="D76" s="37">
        <v>46282</v>
      </c>
      <c r="E76">
        <v>0</v>
      </c>
      <c r="F76">
        <f t="shared" si="4"/>
        <v>0</v>
      </c>
      <c r="K76" s="37"/>
      <c r="L76"/>
      <c r="N76" t="str">
        <f t="shared" si="6"/>
        <v/>
      </c>
      <c r="O76">
        <f t="shared" si="7"/>
        <v>0</v>
      </c>
      <c r="P76">
        <f>IF(IF(ISERROR(MATCH(K76,Rotation_Reset_Dates[Date],0)),0,1)=1,1,IF(ISBLANK(K76),"",IF(OR(rotationDays=1,K76&lt;First_Instructional_Day1),0,IF(AND(rotationDays&gt;1,K76=First_Instructional_Day1),1,IF(P75+IF(OR(N75="Instructional",N75="Not Scheduled"),1,0)&gt;rotationDays,1,P75+IF(OR(N75="Instructional",N75="Not Scheduled"),1,0))))))</f>
        <v>1</v>
      </c>
      <c r="Q76" t="str">
        <f t="shared" si="12"/>
        <v/>
      </c>
      <c r="R76" t="str">
        <f>IF(ISBLANK(K76),"",IF(N76="Operational (no students)",99,IF(N76="Instructional",IF(rotationDays=1,Q76,P76),_xlfn.XLOOKUP(N76,TimeTable_Codes[Description],TimeTable_Codes[TimetableCode]))))</f>
        <v/>
      </c>
      <c r="S76" t="str">
        <f>IF(NOT(ISBLANK(K76)),VLOOKUP(K76,term_lookups[],2),"")</f>
        <v/>
      </c>
      <c r="T76" cm="1">
        <f t="array" ref="T76">IF(ISBLANK(K76),0,_xlfn.XLOOKUP(R76&amp;S76,Daily_Totals[Day]&amp;Daily_Totals[Term],Daily_Totals[Instruction]))</f>
        <v>0</v>
      </c>
      <c r="U76" cm="1">
        <f t="array" ref="U76">IF(ISBLANK(K76),0,_xlfn.XLOOKUP(R76&amp;S76,Daily_Totals[Day]&amp;Daily_Totals[Term],Daily_Totals[Non-Instruction]))</f>
        <v>0</v>
      </c>
      <c r="AC76">
        <v>7</v>
      </c>
      <c r="AD76">
        <v>4</v>
      </c>
      <c r="AE76" s="42">
        <f>SUM(Term4_Day_7[Instructional Time])</f>
        <v>0</v>
      </c>
      <c r="AF76" s="42">
        <f>SUM(Term4_Day_7[Assigned Time (Non-Instructional)])</f>
        <v>0</v>
      </c>
      <c r="AG76" s="42">
        <f t="shared" ref="AG76:AG78" si="16">+AE76+AF76</f>
        <v>0</v>
      </c>
    </row>
    <row r="77" spans="3:33" x14ac:dyDescent="0.3">
      <c r="C77">
        <v>9</v>
      </c>
      <c r="D77" s="37">
        <v>46283</v>
      </c>
      <c r="E77">
        <v>0</v>
      </c>
      <c r="F77">
        <f t="shared" si="4"/>
        <v>0</v>
      </c>
      <c r="K77" s="37"/>
      <c r="L77"/>
      <c r="N77" t="str">
        <f t="shared" si="6"/>
        <v/>
      </c>
      <c r="O77">
        <f t="shared" si="7"/>
        <v>0</v>
      </c>
      <c r="P77">
        <f>IF(IF(ISERROR(MATCH(K77,Rotation_Reset_Dates[Date],0)),0,1)=1,1,IF(ISBLANK(K77),"",IF(OR(rotationDays=1,K77&lt;First_Instructional_Day1),0,IF(AND(rotationDays&gt;1,K77=First_Instructional_Day1),1,IF(P76+IF(OR(N76="Instructional",N76="Not Scheduled"),1,0)&gt;rotationDays,1,P76+IF(OR(N76="Instructional",N76="Not Scheduled"),1,0))))))</f>
        <v>1</v>
      </c>
      <c r="Q77" t="str">
        <f t="shared" si="12"/>
        <v/>
      </c>
      <c r="R77" t="str">
        <f>IF(ISBLANK(K77),"",IF(N77="Operational (no students)",99,IF(N77="Instructional",IF(rotationDays=1,Q77,P77),_xlfn.XLOOKUP(N77,TimeTable_Codes[Description],TimeTable_Codes[TimetableCode]))))</f>
        <v/>
      </c>
      <c r="S77" t="str">
        <f>IF(NOT(ISBLANK(K77)),VLOOKUP(K77,term_lookups[],2),"")</f>
        <v/>
      </c>
      <c r="T77" cm="1">
        <f t="array" ref="T77">IF(ISBLANK(K77),0,_xlfn.XLOOKUP(R77&amp;S77,Daily_Totals[Day]&amp;Daily_Totals[Term],Daily_Totals[Instruction]))</f>
        <v>0</v>
      </c>
      <c r="U77" cm="1">
        <f t="array" ref="U77">IF(ISBLANK(K77),0,_xlfn.XLOOKUP(R77&amp;S77,Daily_Totals[Day]&amp;Daily_Totals[Term],Daily_Totals[Non-Instruction]))</f>
        <v>0</v>
      </c>
      <c r="AC77">
        <v>8</v>
      </c>
      <c r="AD77">
        <v>4</v>
      </c>
      <c r="AE77" s="42">
        <f>SUM(Term4_Day_8[Instructional Time])</f>
        <v>0</v>
      </c>
      <c r="AF77" s="42">
        <f>SUM(Term4_Day_8[Assigned Time (Non-Instructional)])</f>
        <v>0</v>
      </c>
      <c r="AG77" s="42">
        <f t="shared" si="16"/>
        <v>0</v>
      </c>
    </row>
    <row r="78" spans="3:33" x14ac:dyDescent="0.3">
      <c r="C78">
        <v>9</v>
      </c>
      <c r="D78" s="37">
        <v>46284</v>
      </c>
      <c r="E78">
        <v>0</v>
      </c>
      <c r="F78">
        <f t="shared" si="4"/>
        <v>0</v>
      </c>
      <c r="K78" s="37"/>
      <c r="L78"/>
      <c r="N78" t="str">
        <f t="shared" si="6"/>
        <v/>
      </c>
      <c r="O78">
        <f t="shared" si="7"/>
        <v>0</v>
      </c>
      <c r="P78">
        <f>IF(IF(ISERROR(MATCH(K78,Rotation_Reset_Dates[Date],0)),0,1)=1,1,IF(ISBLANK(K78),"",IF(OR(rotationDays=1,K78&lt;First_Instructional_Day1),0,IF(AND(rotationDays&gt;1,K78=First_Instructional_Day1),1,IF(P77+IF(OR(N77="Instructional",N77="Not Scheduled"),1,0)&gt;rotationDays,1,P77+IF(OR(N77="Instructional",N77="Not Scheduled"),1,0))))))</f>
        <v>1</v>
      </c>
      <c r="Q78" t="str">
        <f t="shared" si="12"/>
        <v/>
      </c>
      <c r="R78" t="str">
        <f>IF(ISBLANK(K78),"",IF(N78="Operational (no students)",99,IF(N78="Instructional",IF(rotationDays=1,Q78,P78),_xlfn.XLOOKUP(N78,TimeTable_Codes[Description],TimeTable_Codes[TimetableCode]))))</f>
        <v/>
      </c>
      <c r="S78" t="str">
        <f>IF(NOT(ISBLANK(K78)),VLOOKUP(K78,term_lookups[],2),"")</f>
        <v/>
      </c>
      <c r="T78" cm="1">
        <f t="array" ref="T78">IF(ISBLANK(K78),0,_xlfn.XLOOKUP(R78&amp;S78,Daily_Totals[Day]&amp;Daily_Totals[Term],Daily_Totals[Instruction]))</f>
        <v>0</v>
      </c>
      <c r="U78" cm="1">
        <f t="array" ref="U78">IF(ISBLANK(K78),0,_xlfn.XLOOKUP(R78&amp;S78,Daily_Totals[Day]&amp;Daily_Totals[Term],Daily_Totals[Non-Instruction]))</f>
        <v>0</v>
      </c>
      <c r="AC78">
        <v>9</v>
      </c>
      <c r="AD78">
        <v>4</v>
      </c>
      <c r="AE78" s="42">
        <f>SUM(Term4_Day_9[Instructional Time])</f>
        <v>0</v>
      </c>
      <c r="AF78" s="42">
        <f>SUM(Term4_Day_9[Assigned Time (Non-Instructional)])</f>
        <v>0</v>
      </c>
      <c r="AG78" s="42">
        <f t="shared" si="16"/>
        <v>0</v>
      </c>
    </row>
    <row r="79" spans="3:33" x14ac:dyDescent="0.3">
      <c r="C79">
        <v>9</v>
      </c>
      <c r="D79" s="37" cm="1">
        <f t="array" ref="D79:D85">TRANSPOSE(Calendar!B35:H35)</f>
        <v>46285</v>
      </c>
      <c r="E79" cm="1">
        <f t="array" ref="E79:E85">TRANSPOSE(Calendar!B36:H36)</f>
        <v>0</v>
      </c>
      <c r="F79">
        <f t="shared" si="4"/>
        <v>0</v>
      </c>
      <c r="K79" s="37"/>
      <c r="L79"/>
      <c r="N79" t="str">
        <f t="shared" si="6"/>
        <v/>
      </c>
      <c r="O79">
        <f t="shared" si="7"/>
        <v>0</v>
      </c>
      <c r="P79">
        <f>IF(IF(ISERROR(MATCH(K79,Rotation_Reset_Dates[Date],0)),0,1)=1,1,IF(ISBLANK(K79),"",IF(OR(rotationDays=1,K79&lt;First_Instructional_Day1),0,IF(AND(rotationDays&gt;1,K79=First_Instructional_Day1),1,IF(P78+IF(OR(N78="Instructional",N78="Not Scheduled"),1,0)&gt;rotationDays,1,P78+IF(OR(N78="Instructional",N78="Not Scheduled"),1,0))))))</f>
        <v>1</v>
      </c>
      <c r="Q79" t="str">
        <f t="shared" si="12"/>
        <v/>
      </c>
      <c r="R79" t="str">
        <f>IF(ISBLANK(K79),"",IF(N79="Operational (no students)",99,IF(N79="Instructional",IF(rotationDays=1,Q79,P79),_xlfn.XLOOKUP(N79,TimeTable_Codes[Description],TimeTable_Codes[TimetableCode]))))</f>
        <v/>
      </c>
      <c r="S79" t="str">
        <f>IF(NOT(ISBLANK(K79)),VLOOKUP(K79,term_lookups[],2),"")</f>
        <v/>
      </c>
      <c r="T79" cm="1">
        <f t="array" ref="T79">IF(ISBLANK(K79),0,_xlfn.XLOOKUP(R79&amp;S79,Daily_Totals[Day]&amp;Daily_Totals[Term],Daily_Totals[Instruction]))</f>
        <v>0</v>
      </c>
      <c r="U79" cm="1">
        <f t="array" ref="U79">IF(ISBLANK(K79),0,_xlfn.XLOOKUP(R79&amp;S79,Daily_Totals[Day]&amp;Daily_Totals[Term],Daily_Totals[Non-Instruction]))</f>
        <v>0</v>
      </c>
      <c r="AC79">
        <v>10</v>
      </c>
      <c r="AD79">
        <v>4</v>
      </c>
      <c r="AE79" s="42">
        <f>SUM(Term4_Day_10[Instructional Time])</f>
        <v>0</v>
      </c>
      <c r="AF79" s="42">
        <f>SUM(Term4_Day_10[Assigned Time (Non-Instructional)])</f>
        <v>0</v>
      </c>
      <c r="AG79" s="42">
        <f t="shared" si="15"/>
        <v>0</v>
      </c>
    </row>
    <row r="80" spans="3:33" x14ac:dyDescent="0.3">
      <c r="C80">
        <v>9</v>
      </c>
      <c r="D80" s="37">
        <v>46286</v>
      </c>
      <c r="E80">
        <v>0</v>
      </c>
      <c r="F80">
        <f t="shared" si="4"/>
        <v>0</v>
      </c>
      <c r="K80" s="37"/>
      <c r="L80"/>
      <c r="N80" t="str">
        <f t="shared" si="6"/>
        <v/>
      </c>
      <c r="O80">
        <f t="shared" si="7"/>
        <v>0</v>
      </c>
      <c r="P80">
        <f>IF(IF(ISERROR(MATCH(K80,Rotation_Reset_Dates[Date],0)),0,1)=1,1,IF(ISBLANK(K80),"",IF(OR(rotationDays=1,K80&lt;First_Instructional_Day1),0,IF(AND(rotationDays&gt;1,K80=First_Instructional_Day1),1,IF(P79+IF(OR(N79="Instructional",N79="Not Scheduled"),1,0)&gt;rotationDays,1,P79+IF(OR(N79="Instructional",N79="Not Scheduled"),1,0))))))</f>
        <v>1</v>
      </c>
      <c r="Q80" t="str">
        <f t="shared" si="12"/>
        <v/>
      </c>
      <c r="R80" t="str">
        <f>IF(ISBLANK(K80),"",IF(N80="Operational (no students)",99,IF(N80="Instructional",IF(rotationDays=1,Q80,P80),_xlfn.XLOOKUP(N80,TimeTable_Codes[Description],TimeTable_Codes[TimetableCode]))))</f>
        <v/>
      </c>
      <c r="S80" t="str">
        <f>IF(NOT(ISBLANK(K80)),VLOOKUP(K80,term_lookups[],2),"")</f>
        <v/>
      </c>
      <c r="T80" cm="1">
        <f t="array" ref="T80">IF(ISBLANK(K80),0,_xlfn.XLOOKUP(R80&amp;S80,Daily_Totals[Day]&amp;Daily_Totals[Term],Daily_Totals[Instruction]))</f>
        <v>0</v>
      </c>
      <c r="U80" cm="1">
        <f t="array" ref="U80">IF(ISBLANK(K80),0,_xlfn.XLOOKUP(R80&amp;S80,Daily_Totals[Day]&amp;Daily_Totals[Term],Daily_Totals[Non-Instruction]))</f>
        <v>0</v>
      </c>
      <c r="AC80">
        <v>90</v>
      </c>
      <c r="AD80">
        <v>4</v>
      </c>
      <c r="AE80" s="42">
        <f>SUM(Term4_Early_Dismissal_1[Instructional Time])</f>
        <v>0</v>
      </c>
      <c r="AF80" s="42">
        <f>SUM(Term4_Early_Dismissal_1[Assigned Time (Non-Instructional)])</f>
        <v>0</v>
      </c>
      <c r="AG80">
        <f t="shared" si="0"/>
        <v>0</v>
      </c>
    </row>
    <row r="81" spans="3:33" x14ac:dyDescent="0.3">
      <c r="C81">
        <v>9</v>
      </c>
      <c r="D81" s="37">
        <v>46287</v>
      </c>
      <c r="E81">
        <v>0</v>
      </c>
      <c r="F81">
        <f t="shared" si="4"/>
        <v>0</v>
      </c>
      <c r="K81" s="37"/>
      <c r="L81"/>
      <c r="N81" t="str">
        <f t="shared" si="6"/>
        <v/>
      </c>
      <c r="O81">
        <f t="shared" si="7"/>
        <v>0</v>
      </c>
      <c r="P81">
        <f>IF(IF(ISERROR(MATCH(K81,Rotation_Reset_Dates[Date],0)),0,1)=1,1,IF(ISBLANK(K81),"",IF(OR(rotationDays=1,K81&lt;First_Instructional_Day1),0,IF(AND(rotationDays&gt;1,K81=First_Instructional_Day1),1,IF(P80+IF(OR(N80="Instructional",N80="Not Scheduled"),1,0)&gt;rotationDays,1,P80+IF(OR(N80="Instructional",N80="Not Scheduled"),1,0))))))</f>
        <v>1</v>
      </c>
      <c r="Q81" t="str">
        <f t="shared" si="12"/>
        <v/>
      </c>
      <c r="R81" t="str">
        <f>IF(ISBLANK(K81),"",IF(N81="Operational (no students)",99,IF(N81="Instructional",IF(rotationDays=1,Q81,P81),_xlfn.XLOOKUP(N81,TimeTable_Codes[Description],TimeTable_Codes[TimetableCode]))))</f>
        <v/>
      </c>
      <c r="S81" t="str">
        <f>IF(NOT(ISBLANK(K81)),VLOOKUP(K81,term_lookups[],2),"")</f>
        <v/>
      </c>
      <c r="T81" cm="1">
        <f t="array" ref="T81">IF(ISBLANK(K81),0,_xlfn.XLOOKUP(R81&amp;S81,Daily_Totals[Day]&amp;Daily_Totals[Term],Daily_Totals[Instruction]))</f>
        <v>0</v>
      </c>
      <c r="U81" cm="1">
        <f t="array" ref="U81">IF(ISBLANK(K81),0,_xlfn.XLOOKUP(R81&amp;S81,Daily_Totals[Day]&amp;Daily_Totals[Term],Daily_Totals[Non-Instruction]))</f>
        <v>0</v>
      </c>
      <c r="AC81">
        <v>91</v>
      </c>
      <c r="AD81">
        <v>4</v>
      </c>
      <c r="AE81" s="42">
        <f>SUM(Term4_Early_Dismissal_2[Instructional Time])</f>
        <v>0</v>
      </c>
      <c r="AF81" s="42">
        <f>SUM(Term4_Early_Dismissal_2[Assigned Time (Non-Instructional)])</f>
        <v>0</v>
      </c>
      <c r="AG81">
        <f t="shared" si="0"/>
        <v>0</v>
      </c>
    </row>
    <row r="82" spans="3:33" x14ac:dyDescent="0.3">
      <c r="C82">
        <v>9</v>
      </c>
      <c r="D82" s="37">
        <v>46288</v>
      </c>
      <c r="E82">
        <v>0</v>
      </c>
      <c r="F82">
        <f t="shared" si="4"/>
        <v>0</v>
      </c>
      <c r="K82" s="37"/>
      <c r="L82"/>
      <c r="N82" t="str">
        <f t="shared" si="6"/>
        <v/>
      </c>
      <c r="O82">
        <f t="shared" si="7"/>
        <v>0</v>
      </c>
      <c r="P82">
        <f>IF(IF(ISERROR(MATCH(K82,Rotation_Reset_Dates[Date],0)),0,1)=1,1,IF(ISBLANK(K82),"",IF(OR(rotationDays=1,K82&lt;First_Instructional_Day1),0,IF(AND(rotationDays&gt;1,K82=First_Instructional_Day1),1,IF(P81+IF(OR(N81="Instructional",N81="Not Scheduled"),1,0)&gt;rotationDays,1,P81+IF(OR(N81="Instructional",N81="Not Scheduled"),1,0))))))</f>
        <v>1</v>
      </c>
      <c r="Q82" t="str">
        <f t="shared" si="12"/>
        <v/>
      </c>
      <c r="R82" t="str">
        <f>IF(ISBLANK(K82),"",IF(N82="Operational (no students)",99,IF(N82="Instructional",IF(rotationDays=1,Q82,P82),_xlfn.XLOOKUP(N82,TimeTable_Codes[Description],TimeTable_Codes[TimetableCode]))))</f>
        <v/>
      </c>
      <c r="S82" t="str">
        <f>IF(NOT(ISBLANK(K82)),VLOOKUP(K82,term_lookups[],2),"")</f>
        <v/>
      </c>
      <c r="T82" cm="1">
        <f t="array" ref="T82">IF(ISBLANK(K82),0,_xlfn.XLOOKUP(R82&amp;S82,Daily_Totals[Day]&amp;Daily_Totals[Term],Daily_Totals[Instruction]))</f>
        <v>0</v>
      </c>
      <c r="U82" cm="1">
        <f t="array" ref="U82">IF(ISBLANK(K82),0,_xlfn.XLOOKUP(R82&amp;S82,Daily_Totals[Day]&amp;Daily_Totals[Term],Daily_Totals[Non-Instruction]))</f>
        <v>0</v>
      </c>
      <c r="AC82">
        <v>92</v>
      </c>
      <c r="AD82">
        <v>4</v>
      </c>
      <c r="AE82" s="42">
        <f>SUM(Term4_Early_Dismissal_3[Instructional Time])</f>
        <v>0</v>
      </c>
      <c r="AF82" s="42">
        <f>SUM(Term4_Early_Dismissal_3[Assigned Time (Non-Instructional)])</f>
        <v>0</v>
      </c>
      <c r="AG82">
        <f t="shared" si="0"/>
        <v>0</v>
      </c>
    </row>
    <row r="83" spans="3:33" x14ac:dyDescent="0.3">
      <c r="C83">
        <v>9</v>
      </c>
      <c r="D83" s="37">
        <v>46289</v>
      </c>
      <c r="E83">
        <v>0</v>
      </c>
      <c r="F83">
        <f t="shared" si="4"/>
        <v>0</v>
      </c>
      <c r="K83" s="37"/>
      <c r="L83"/>
      <c r="N83" t="str">
        <f t="shared" si="6"/>
        <v/>
      </c>
      <c r="O83">
        <f t="shared" si="7"/>
        <v>0</v>
      </c>
      <c r="P83">
        <f>IF(IF(ISERROR(MATCH(K83,Rotation_Reset_Dates[Date],0)),0,1)=1,1,IF(ISBLANK(K83),"",IF(OR(rotationDays=1,K83&lt;First_Instructional_Day1),0,IF(AND(rotationDays&gt;1,K83=First_Instructional_Day1),1,IF(P82+IF(OR(N82="Instructional",N82="Not Scheduled"),1,0)&gt;rotationDays,1,P82+IF(OR(N82="Instructional",N82="Not Scheduled"),1,0))))))</f>
        <v>1</v>
      </c>
      <c r="Q83" t="str">
        <f t="shared" si="12"/>
        <v/>
      </c>
      <c r="R83" t="str">
        <f>IF(ISBLANK(K83),"",IF(N83="Operational (no students)",99,IF(N83="Instructional",IF(rotationDays=1,Q83,P83),_xlfn.XLOOKUP(N83,TimeTable_Codes[Description],TimeTable_Codes[TimetableCode]))))</f>
        <v/>
      </c>
      <c r="S83" t="str">
        <f>IF(NOT(ISBLANK(K83)),VLOOKUP(K83,term_lookups[],2),"")</f>
        <v/>
      </c>
      <c r="T83" cm="1">
        <f t="array" ref="T83">IF(ISBLANK(K83),0,_xlfn.XLOOKUP(R83&amp;S83,Daily_Totals[Day]&amp;Daily_Totals[Term],Daily_Totals[Instruction]))</f>
        <v>0</v>
      </c>
      <c r="U83" cm="1">
        <f t="array" ref="U83">IF(ISBLANK(K83),0,_xlfn.XLOOKUP(R83&amp;S83,Daily_Totals[Day]&amp;Daily_Totals[Term],Daily_Totals[Non-Instruction]))</f>
        <v>0</v>
      </c>
      <c r="AC83">
        <v>93</v>
      </c>
      <c r="AD83">
        <v>4</v>
      </c>
      <c r="AE83" s="42">
        <f>SUM(Term4_Early_Dismissal_4[Instructional Time])</f>
        <v>0</v>
      </c>
      <c r="AF83" s="42">
        <f>SUM(Term4_Early_Dismissal_4[Assigned Time (Non-Instructional)])</f>
        <v>0</v>
      </c>
      <c r="AG83" s="42">
        <f t="shared" ref="AG83:AG85" si="17">+AE83+AF83</f>
        <v>0</v>
      </c>
    </row>
    <row r="84" spans="3:33" x14ac:dyDescent="0.3">
      <c r="C84">
        <v>9</v>
      </c>
      <c r="D84" s="37">
        <v>46290</v>
      </c>
      <c r="E84">
        <v>0</v>
      </c>
      <c r="F84">
        <f t="shared" si="4"/>
        <v>0</v>
      </c>
      <c r="K84" s="37"/>
      <c r="L84"/>
      <c r="N84" t="str">
        <f t="shared" si="6"/>
        <v/>
      </c>
      <c r="O84">
        <f t="shared" si="7"/>
        <v>0</v>
      </c>
      <c r="P84">
        <f>IF(IF(ISERROR(MATCH(K84,Rotation_Reset_Dates[Date],0)),0,1)=1,1,IF(ISBLANK(K84),"",IF(OR(rotationDays=1,K84&lt;First_Instructional_Day1),0,IF(AND(rotationDays&gt;1,K84=First_Instructional_Day1),1,IF(P83+IF(OR(N83="Instructional",N83="Not Scheduled"),1,0)&gt;rotationDays,1,P83+IF(OR(N83="Instructional",N83="Not Scheduled"),1,0))))))</f>
        <v>1</v>
      </c>
      <c r="Q84" t="str">
        <f t="shared" si="12"/>
        <v/>
      </c>
      <c r="R84" t="str">
        <f>IF(ISBLANK(K84),"",IF(N84="Operational (no students)",99,IF(N84="Instructional",IF(rotationDays=1,Q84,P84),_xlfn.XLOOKUP(N84,TimeTable_Codes[Description],TimeTable_Codes[TimetableCode]))))</f>
        <v/>
      </c>
      <c r="S84" t="str">
        <f>IF(NOT(ISBLANK(K84)),VLOOKUP(K84,term_lookups[],2),"")</f>
        <v/>
      </c>
      <c r="T84" cm="1">
        <f t="array" ref="T84">IF(ISBLANK(K84),0,_xlfn.XLOOKUP(R84&amp;S84,Daily_Totals[Day]&amp;Daily_Totals[Term],Daily_Totals[Instruction]))</f>
        <v>0</v>
      </c>
      <c r="U84" cm="1">
        <f t="array" ref="U84">IF(ISBLANK(K84),0,_xlfn.XLOOKUP(R84&amp;S84,Daily_Totals[Day]&amp;Daily_Totals[Term],Daily_Totals[Non-Instruction]))</f>
        <v>0</v>
      </c>
      <c r="AC84">
        <v>94</v>
      </c>
      <c r="AD84">
        <v>4</v>
      </c>
      <c r="AE84" s="42">
        <f>SUM(Term4_Early_Dismissal_5[Instructional Time])</f>
        <v>0</v>
      </c>
      <c r="AF84" s="42">
        <f>SUM(Term4_Early_Dismissal_5[Assigned Time (Non-Instructional)])</f>
        <v>0</v>
      </c>
      <c r="AG84" s="42">
        <f t="shared" si="17"/>
        <v>0</v>
      </c>
    </row>
    <row r="85" spans="3:33" x14ac:dyDescent="0.3">
      <c r="C85">
        <v>9</v>
      </c>
      <c r="D85" s="37">
        <v>46291</v>
      </c>
      <c r="E85">
        <v>0</v>
      </c>
      <c r="F85">
        <f t="shared" ref="F85:F148" si="18">IF(AND(MONTH(D85)=C85,D85&gt;=First_Operational_Day,D85&lt;=Last_Operational_Day,WEEKDAY(D85)&lt;&gt;1,WEEKDAY(D85)&lt;&gt;7,E85&lt;&gt;"Closed (non-operational)"),1,0)</f>
        <v>0</v>
      </c>
      <c r="K85" s="37"/>
      <c r="L85"/>
      <c r="N85" t="str">
        <f t="shared" si="6"/>
        <v/>
      </c>
      <c r="O85">
        <f t="shared" si="7"/>
        <v>0</v>
      </c>
      <c r="P85">
        <f>IF(IF(ISERROR(MATCH(K85,Rotation_Reset_Dates[Date],0)),0,1)=1,1,IF(ISBLANK(K85),"",IF(OR(rotationDays=1,K85&lt;First_Instructional_Day1),0,IF(AND(rotationDays&gt;1,K85=First_Instructional_Day1),1,IF(P84+IF(OR(N84="Instructional",N84="Not Scheduled"),1,0)&gt;rotationDays,1,P84+IF(OR(N84="Instructional",N84="Not Scheduled"),1,0))))))</f>
        <v>1</v>
      </c>
      <c r="Q85" t="str">
        <f t="shared" ref="Q85:Q148" si="19">IF(ISBLANK(K85),"",IF(K85&gt;=First_Instructional_Day1,WEEKDAY(K85)-1,0))</f>
        <v/>
      </c>
      <c r="R85" t="str">
        <f>IF(ISBLANK(K85),"",IF(N85="Operational (no students)",99,IF(N85="Instructional",IF(rotationDays=1,Q85,P85),_xlfn.XLOOKUP(N85,TimeTable_Codes[Description],TimeTable_Codes[TimetableCode]))))</f>
        <v/>
      </c>
      <c r="S85" t="str">
        <f>IF(NOT(ISBLANK(K85)),VLOOKUP(K85,term_lookups[],2),"")</f>
        <v/>
      </c>
      <c r="T85" cm="1">
        <f t="array" ref="T85">IF(ISBLANK(K85),0,_xlfn.XLOOKUP(R85&amp;S85,Daily_Totals[Day]&amp;Daily_Totals[Term],Daily_Totals[Instruction]))</f>
        <v>0</v>
      </c>
      <c r="U85" cm="1">
        <f t="array" ref="U85">IF(ISBLANK(K85),0,_xlfn.XLOOKUP(R85&amp;S85,Daily_Totals[Day]&amp;Daily_Totals[Term],Daily_Totals[Non-Instruction]))</f>
        <v>0</v>
      </c>
      <c r="AC85">
        <v>95</v>
      </c>
      <c r="AD85">
        <v>4</v>
      </c>
      <c r="AE85" s="42">
        <f>SUM(Term4_Early_Dismissal_6[Instructional Time])</f>
        <v>0</v>
      </c>
      <c r="AF85" s="42">
        <f>SUM(Term4_Early_Dismissal_6[Assigned Time (Non-Instructional)])</f>
        <v>0</v>
      </c>
      <c r="AG85" s="42">
        <f t="shared" si="17"/>
        <v>0</v>
      </c>
    </row>
    <row r="86" spans="3:33" x14ac:dyDescent="0.3">
      <c r="C86">
        <v>9</v>
      </c>
      <c r="D86" s="37" cm="1">
        <f t="array" ref="D86:D92">TRANSPOSE(Calendar!B37:H37)</f>
        <v>46292</v>
      </c>
      <c r="E86" cm="1">
        <f t="array" ref="E86:E92">TRANSPOSE(Calendar!B38:H38)</f>
        <v>0</v>
      </c>
      <c r="F86">
        <f t="shared" si="18"/>
        <v>0</v>
      </c>
      <c r="K86" s="37"/>
      <c r="L86"/>
      <c r="N86" t="str">
        <f t="shared" ref="N86:N149" si="20">IF(ISBLANK(K86),"",IF(L86=0,"Instructional",L86))</f>
        <v/>
      </c>
      <c r="O86">
        <f t="shared" ref="O86:O149" si="21">IF(OR(N86="Planning Day",N86="PD/In-Service Day"),1,0)</f>
        <v>0</v>
      </c>
      <c r="P86">
        <f>IF(IF(ISERROR(MATCH(K86,Rotation_Reset_Dates[Date],0)),0,1)=1,1,IF(ISBLANK(K86),"",IF(OR(rotationDays=1,K86&lt;First_Instructional_Day1),0,IF(AND(rotationDays&gt;1,K86=First_Instructional_Day1),1,IF(P85+IF(OR(N85="Instructional",N85="Not Scheduled"),1,0)&gt;rotationDays,1,P85+IF(OR(N85="Instructional",N85="Not Scheduled"),1,0))))))</f>
        <v>1</v>
      </c>
      <c r="Q86" t="str">
        <f t="shared" si="19"/>
        <v/>
      </c>
      <c r="R86" t="str">
        <f>IF(ISBLANK(K86),"",IF(N86="Operational (no students)",99,IF(N86="Instructional",IF(rotationDays=1,Q86,P86),_xlfn.XLOOKUP(N86,TimeTable_Codes[Description],TimeTable_Codes[TimetableCode]))))</f>
        <v/>
      </c>
      <c r="S86" t="str">
        <f>IF(NOT(ISBLANK(K86)),VLOOKUP(K86,term_lookups[],2),"")</f>
        <v/>
      </c>
      <c r="T86" cm="1">
        <f t="array" ref="T86">IF(ISBLANK(K86),0,_xlfn.XLOOKUP(R86&amp;S86,Daily_Totals[Day]&amp;Daily_Totals[Term],Daily_Totals[Instruction]))</f>
        <v>0</v>
      </c>
      <c r="U86" cm="1">
        <f t="array" ref="U86">IF(ISBLANK(K86),0,_xlfn.XLOOKUP(R86&amp;S86,Daily_Totals[Day]&amp;Daily_Totals[Term],Daily_Totals[Non-Instruction]))</f>
        <v>0</v>
      </c>
      <c r="AC86">
        <v>96</v>
      </c>
      <c r="AD86">
        <v>4</v>
      </c>
      <c r="AE86" s="42">
        <f>SUM(Term4_Special_Day_1[Instructional Time])</f>
        <v>0</v>
      </c>
      <c r="AF86" s="42">
        <f>SUM(Term4_Special_Day_1[Assigned Time (Non-Instructional)])</f>
        <v>0</v>
      </c>
      <c r="AG86">
        <f t="shared" si="0"/>
        <v>0</v>
      </c>
    </row>
    <row r="87" spans="3:33" x14ac:dyDescent="0.3">
      <c r="C87">
        <v>9</v>
      </c>
      <c r="D87" s="37">
        <v>46293</v>
      </c>
      <c r="E87">
        <v>0</v>
      </c>
      <c r="F87">
        <f t="shared" si="18"/>
        <v>0</v>
      </c>
      <c r="K87" s="37"/>
      <c r="L87"/>
      <c r="N87" t="str">
        <f t="shared" si="20"/>
        <v/>
      </c>
      <c r="O87">
        <f t="shared" si="21"/>
        <v>0</v>
      </c>
      <c r="P87">
        <f>IF(IF(ISERROR(MATCH(K87,Rotation_Reset_Dates[Date],0)),0,1)=1,1,IF(ISBLANK(K87),"",IF(OR(rotationDays=1,K87&lt;First_Instructional_Day1),0,IF(AND(rotationDays&gt;1,K87=First_Instructional_Day1),1,IF(P86+IF(OR(N86="Instructional",N86="Not Scheduled"),1,0)&gt;rotationDays,1,P86+IF(OR(N86="Instructional",N86="Not Scheduled"),1,0))))))</f>
        <v>1</v>
      </c>
      <c r="Q87" t="str">
        <f t="shared" si="19"/>
        <v/>
      </c>
      <c r="R87" t="str">
        <f>IF(ISBLANK(K87),"",IF(N87="Operational (no students)",99,IF(N87="Instructional",IF(rotationDays=1,Q87,P87),_xlfn.XLOOKUP(N87,TimeTable_Codes[Description],TimeTable_Codes[TimetableCode]))))</f>
        <v/>
      </c>
      <c r="S87" t="str">
        <f>IF(NOT(ISBLANK(K87)),VLOOKUP(K87,term_lookups[],2),"")</f>
        <v/>
      </c>
      <c r="T87" cm="1">
        <f t="array" ref="T87">IF(ISBLANK(K87),0,_xlfn.XLOOKUP(R87&amp;S87,Daily_Totals[Day]&amp;Daily_Totals[Term],Daily_Totals[Instruction]))</f>
        <v>0</v>
      </c>
      <c r="U87" cm="1">
        <f t="array" ref="U87">IF(ISBLANK(K87),0,_xlfn.XLOOKUP(R87&amp;S87,Daily_Totals[Day]&amp;Daily_Totals[Term],Daily_Totals[Non-Instruction]))</f>
        <v>0</v>
      </c>
      <c r="AC87">
        <v>97</v>
      </c>
      <c r="AD87">
        <v>4</v>
      </c>
      <c r="AE87" s="42">
        <f>SUM(Term4_Special_Day_2[Instructional Time])</f>
        <v>0</v>
      </c>
      <c r="AF87" s="42">
        <f>SUM(Term4_Special_Day_2[Assigned Time (Non-Instructional)])</f>
        <v>0</v>
      </c>
      <c r="AG87">
        <f t="shared" si="0"/>
        <v>0</v>
      </c>
    </row>
    <row r="88" spans="3:33" x14ac:dyDescent="0.3">
      <c r="C88">
        <v>9</v>
      </c>
      <c r="D88" s="37">
        <v>46294</v>
      </c>
      <c r="E88">
        <v>0</v>
      </c>
      <c r="F88">
        <f t="shared" si="18"/>
        <v>0</v>
      </c>
      <c r="K88" s="37"/>
      <c r="L88"/>
      <c r="N88" t="str">
        <f t="shared" si="20"/>
        <v/>
      </c>
      <c r="O88">
        <f t="shared" si="21"/>
        <v>0</v>
      </c>
      <c r="P88">
        <f>IF(IF(ISERROR(MATCH(K88,Rotation_Reset_Dates[Date],0)),0,1)=1,1,IF(ISBLANK(K88),"",IF(OR(rotationDays=1,K88&lt;First_Instructional_Day1),0,IF(AND(rotationDays&gt;1,K88=First_Instructional_Day1),1,IF(P87+IF(OR(N87="Instructional",N87="Not Scheduled"),1,0)&gt;rotationDays,1,P87+IF(OR(N87="Instructional",N87="Not Scheduled"),1,0))))))</f>
        <v>1</v>
      </c>
      <c r="Q88" t="str">
        <f t="shared" si="19"/>
        <v/>
      </c>
      <c r="R88" t="str">
        <f>IF(ISBLANK(K88),"",IF(N88="Operational (no students)",99,IF(N88="Instructional",IF(rotationDays=1,Q88,P88),_xlfn.XLOOKUP(N88,TimeTable_Codes[Description],TimeTable_Codes[TimetableCode]))))</f>
        <v/>
      </c>
      <c r="S88" t="str">
        <f>IF(NOT(ISBLANK(K88)),VLOOKUP(K88,term_lookups[],2),"")</f>
        <v/>
      </c>
      <c r="T88" cm="1">
        <f t="array" ref="T88">IF(ISBLANK(K88),0,_xlfn.XLOOKUP(R88&amp;S88,Daily_Totals[Day]&amp;Daily_Totals[Term],Daily_Totals[Instruction]))</f>
        <v>0</v>
      </c>
      <c r="U88" cm="1">
        <f t="array" ref="U88">IF(ISBLANK(K88),0,_xlfn.XLOOKUP(R88&amp;S88,Daily_Totals[Day]&amp;Daily_Totals[Term],Daily_Totals[Non-Instruction]))</f>
        <v>0</v>
      </c>
      <c r="AC88">
        <v>98</v>
      </c>
      <c r="AD88">
        <v>4</v>
      </c>
      <c r="AE88" s="42">
        <f>SUM(Term4_Special_Day_3[Instructional Time])</f>
        <v>0</v>
      </c>
      <c r="AF88" s="42">
        <f>SUM(Term4_Special_Day_3[Assigned Time (Non-Instructional)])</f>
        <v>0</v>
      </c>
      <c r="AG88">
        <f t="shared" si="0"/>
        <v>0</v>
      </c>
    </row>
    <row r="89" spans="3:33" x14ac:dyDescent="0.3">
      <c r="C89">
        <v>9</v>
      </c>
      <c r="D89" s="37">
        <v>46295</v>
      </c>
      <c r="E89">
        <v>0</v>
      </c>
      <c r="F89">
        <f t="shared" si="18"/>
        <v>0</v>
      </c>
      <c r="K89" s="37"/>
      <c r="L89"/>
      <c r="N89" t="str">
        <f t="shared" si="20"/>
        <v/>
      </c>
      <c r="O89">
        <f t="shared" si="21"/>
        <v>0</v>
      </c>
      <c r="P89">
        <f>IF(IF(ISERROR(MATCH(K89,Rotation_Reset_Dates[Date],0)),0,1)=1,1,IF(ISBLANK(K89),"",IF(OR(rotationDays=1,K89&lt;First_Instructional_Day1),0,IF(AND(rotationDays&gt;1,K89=First_Instructional_Day1),1,IF(P88+IF(OR(N88="Instructional",N88="Not Scheduled"),1,0)&gt;rotationDays,1,P88+IF(OR(N88="Instructional",N88="Not Scheduled"),1,0))))))</f>
        <v>1</v>
      </c>
      <c r="Q89" t="str">
        <f t="shared" si="19"/>
        <v/>
      </c>
      <c r="R89" t="str">
        <f>IF(ISBLANK(K89),"",IF(N89="Operational (no students)",99,IF(N89="Instructional",IF(rotationDays=1,Q89,P89),_xlfn.XLOOKUP(N89,TimeTable_Codes[Description],TimeTable_Codes[TimetableCode]))))</f>
        <v/>
      </c>
      <c r="S89" t="str">
        <f>IF(NOT(ISBLANK(K89)),VLOOKUP(K89,term_lookups[],2),"")</f>
        <v/>
      </c>
      <c r="T89" cm="1">
        <f t="array" ref="T89">IF(ISBLANK(K89),0,_xlfn.XLOOKUP(R89&amp;S89,Daily_Totals[Day]&amp;Daily_Totals[Term],Daily_Totals[Instruction]))</f>
        <v>0</v>
      </c>
      <c r="U89" cm="1">
        <f t="array" ref="U89">IF(ISBLANK(K89),0,_xlfn.XLOOKUP(R89&amp;S89,Daily_Totals[Day]&amp;Daily_Totals[Term],Daily_Totals[Non-Instruction]))</f>
        <v>0</v>
      </c>
      <c r="AC89">
        <v>99</v>
      </c>
      <c r="AD89">
        <v>4</v>
      </c>
      <c r="AE89">
        <v>0</v>
      </c>
      <c r="AF89">
        <f>IF(ISBLANK(PD_Length),360,PD_Length)</f>
        <v>360</v>
      </c>
      <c r="AG89">
        <f t="shared" si="0"/>
        <v>360</v>
      </c>
    </row>
    <row r="90" spans="3:33" x14ac:dyDescent="0.3">
      <c r="C90">
        <v>9</v>
      </c>
      <c r="D90" s="37">
        <v>46296</v>
      </c>
      <c r="E90">
        <v>0</v>
      </c>
      <c r="F90">
        <f t="shared" si="18"/>
        <v>0</v>
      </c>
      <c r="K90" s="37"/>
      <c r="L90"/>
      <c r="N90" t="str">
        <f t="shared" si="20"/>
        <v/>
      </c>
      <c r="O90">
        <f t="shared" si="21"/>
        <v>0</v>
      </c>
      <c r="P90">
        <f>IF(IF(ISERROR(MATCH(K90,Rotation_Reset_Dates[Date],0)),0,1)=1,1,IF(ISBLANK(K90),"",IF(OR(rotationDays=1,K90&lt;First_Instructional_Day1),0,IF(AND(rotationDays&gt;1,K90=First_Instructional_Day1),1,IF(P89+IF(OR(N89="Instructional",N89="Not Scheduled"),1,0)&gt;rotationDays,1,P89+IF(OR(N89="Instructional",N89="Not Scheduled"),1,0))))))</f>
        <v>1</v>
      </c>
      <c r="Q90" t="str">
        <f t="shared" si="19"/>
        <v/>
      </c>
      <c r="R90" t="str">
        <f>IF(ISBLANK(K90),"",IF(N90="Operational (no students)",99,IF(N90="Instructional",IF(rotationDays=1,Q90,P90),_xlfn.XLOOKUP(N90,TimeTable_Codes[Description],TimeTable_Codes[TimetableCode]))))</f>
        <v/>
      </c>
      <c r="S90" t="str">
        <f>IF(NOT(ISBLANK(K90)),VLOOKUP(K90,term_lookups[],2),"")</f>
        <v/>
      </c>
      <c r="T90" cm="1">
        <f t="array" ref="T90">IF(ISBLANK(K90),0,_xlfn.XLOOKUP(R90&amp;S90,Daily_Totals[Day]&amp;Daily_Totals[Term],Daily_Totals[Instruction]))</f>
        <v>0</v>
      </c>
      <c r="U90" cm="1">
        <f t="array" ref="U90">IF(ISBLANK(K90),0,_xlfn.XLOOKUP(R90&amp;S90,Daily_Totals[Day]&amp;Daily_Totals[Term],Daily_Totals[Non-Instruction]))</f>
        <v>0</v>
      </c>
      <c r="AC90">
        <v>100</v>
      </c>
      <c r="AD90">
        <v>4</v>
      </c>
      <c r="AE90">
        <v>0</v>
      </c>
      <c r="AF90">
        <f>IF(ISBLANK(Planning_Length),360,Planning_Length)</f>
        <v>360</v>
      </c>
      <c r="AG90" s="42">
        <f>+AE90+AF90</f>
        <v>360</v>
      </c>
    </row>
    <row r="91" spans="3:33" x14ac:dyDescent="0.3">
      <c r="C91">
        <v>9</v>
      </c>
      <c r="D91" s="37">
        <v>46297</v>
      </c>
      <c r="E91">
        <v>0</v>
      </c>
      <c r="F91">
        <f t="shared" si="18"/>
        <v>0</v>
      </c>
      <c r="K91" s="37"/>
      <c r="L91"/>
      <c r="N91" t="str">
        <f t="shared" si="20"/>
        <v/>
      </c>
      <c r="O91">
        <f t="shared" si="21"/>
        <v>0</v>
      </c>
      <c r="P91">
        <f>IF(IF(ISERROR(MATCH(K91,Rotation_Reset_Dates[Date],0)),0,1)=1,1,IF(ISBLANK(K91),"",IF(OR(rotationDays=1,K91&lt;First_Instructional_Day1),0,IF(AND(rotationDays&gt;1,K91=First_Instructional_Day1),1,IF(P90+IF(OR(N90="Instructional",N90="Not Scheduled"),1,0)&gt;rotationDays,1,P90+IF(OR(N90="Instructional",N90="Not Scheduled"),1,0))))))</f>
        <v>1</v>
      </c>
      <c r="Q91" t="str">
        <f t="shared" si="19"/>
        <v/>
      </c>
      <c r="R91" t="str">
        <f>IF(ISBLANK(K91),"",IF(N91="Operational (no students)",99,IF(N91="Instructional",IF(rotationDays=1,Q91,P91),_xlfn.XLOOKUP(N91,TimeTable_Codes[Description],TimeTable_Codes[TimetableCode]))))</f>
        <v/>
      </c>
      <c r="S91" t="str">
        <f>IF(NOT(ISBLANK(K91)),VLOOKUP(K91,term_lookups[],2),"")</f>
        <v/>
      </c>
      <c r="T91" cm="1">
        <f t="array" ref="T91">IF(ISBLANK(K91),0,_xlfn.XLOOKUP(R91&amp;S91,Daily_Totals[Day]&amp;Daily_Totals[Term],Daily_Totals[Instruction]))</f>
        <v>0</v>
      </c>
      <c r="U91" cm="1">
        <f t="array" ref="U91">IF(ISBLANK(K91),0,_xlfn.XLOOKUP(R91&amp;S91,Daily_Totals[Day]&amp;Daily_Totals[Term],Daily_Totals[Non-Instruction]))</f>
        <v>0</v>
      </c>
      <c r="AC91">
        <v>101</v>
      </c>
      <c r="AD91">
        <v>4</v>
      </c>
      <c r="AE91">
        <v>0</v>
      </c>
      <c r="AF91">
        <v>0</v>
      </c>
      <c r="AG91" s="42">
        <f>+AE91+AF91</f>
        <v>0</v>
      </c>
    </row>
    <row r="92" spans="3:33" x14ac:dyDescent="0.3">
      <c r="C92">
        <v>9</v>
      </c>
      <c r="D92" s="37">
        <v>46298</v>
      </c>
      <c r="E92">
        <v>0</v>
      </c>
      <c r="F92">
        <f t="shared" si="18"/>
        <v>0</v>
      </c>
      <c r="K92" s="37"/>
      <c r="L92"/>
      <c r="N92" t="str">
        <f t="shared" si="20"/>
        <v/>
      </c>
      <c r="O92">
        <f t="shared" si="21"/>
        <v>0</v>
      </c>
      <c r="P92">
        <f>IF(IF(ISERROR(MATCH(K92,Rotation_Reset_Dates[Date],0)),0,1)=1,1,IF(ISBLANK(K92),"",IF(OR(rotationDays=1,K92&lt;First_Instructional_Day1),0,IF(AND(rotationDays&gt;1,K92=First_Instructional_Day1),1,IF(P91+IF(OR(N91="Instructional",N91="Not Scheduled"),1,0)&gt;rotationDays,1,P91+IF(OR(N91="Instructional",N91="Not Scheduled"),1,0))))))</f>
        <v>1</v>
      </c>
      <c r="Q92" t="str">
        <f t="shared" si="19"/>
        <v/>
      </c>
      <c r="R92" t="str">
        <f>IF(ISBLANK(K92),"",IF(N92="Operational (no students)",99,IF(N92="Instructional",IF(rotationDays=1,Q92,P92),_xlfn.XLOOKUP(N92,TimeTable_Codes[Description],TimeTable_Codes[TimetableCode]))))</f>
        <v/>
      </c>
      <c r="S92" t="str">
        <f>IF(NOT(ISBLANK(K92)),VLOOKUP(K92,term_lookups[],2),"")</f>
        <v/>
      </c>
      <c r="T92" cm="1">
        <f t="array" ref="T92">IF(ISBLANK(K92),0,_xlfn.XLOOKUP(R92&amp;S92,Daily_Totals[Day]&amp;Daily_Totals[Term],Daily_Totals[Instruction]))</f>
        <v>0</v>
      </c>
      <c r="U92" cm="1">
        <f t="array" ref="U92">IF(ISBLANK(K92),0,_xlfn.XLOOKUP(R92&amp;S92,Daily_Totals[Day]&amp;Daily_Totals[Term],Daily_Totals[Non-Instruction]))</f>
        <v>0</v>
      </c>
    </row>
    <row r="93" spans="3:33" x14ac:dyDescent="0.3">
      <c r="C93">
        <v>9</v>
      </c>
      <c r="D93" s="37" cm="1">
        <f t="array" ref="D93:D94">TRANSPOSE(Calendar!B39:C39)</f>
        <v>46299</v>
      </c>
      <c r="E93" cm="1">
        <f t="array" ref="E93:E94">TRANSPOSE(Calendar!B40:C40)</f>
        <v>0</v>
      </c>
      <c r="F93">
        <f t="shared" si="18"/>
        <v>0</v>
      </c>
      <c r="K93" s="37"/>
      <c r="L93"/>
      <c r="N93" t="str">
        <f t="shared" si="20"/>
        <v/>
      </c>
      <c r="O93">
        <f t="shared" si="21"/>
        <v>0</v>
      </c>
      <c r="P93">
        <f>IF(IF(ISERROR(MATCH(K93,Rotation_Reset_Dates[Date],0)),0,1)=1,1,IF(ISBLANK(K93),"",IF(OR(rotationDays=1,K93&lt;First_Instructional_Day1),0,IF(AND(rotationDays&gt;1,K93=First_Instructional_Day1),1,IF(P92+IF(OR(N92="Instructional",N92="Not Scheduled"),1,0)&gt;rotationDays,1,P92+IF(OR(N92="Instructional",N92="Not Scheduled"),1,0))))))</f>
        <v>1</v>
      </c>
      <c r="Q93" t="str">
        <f t="shared" si="19"/>
        <v/>
      </c>
      <c r="R93" t="str">
        <f>IF(ISBLANK(K93),"",IF(N93="Operational (no students)",99,IF(N93="Instructional",IF(rotationDays=1,Q93,P93),_xlfn.XLOOKUP(N93,TimeTable_Codes[Description],TimeTable_Codes[TimetableCode]))))</f>
        <v/>
      </c>
      <c r="S93" t="str">
        <f>IF(NOT(ISBLANK(K93)),VLOOKUP(K93,term_lookups[],2),"")</f>
        <v/>
      </c>
      <c r="T93" cm="1">
        <f t="array" ref="T93">IF(ISBLANK(K93),0,_xlfn.XLOOKUP(R93&amp;S93,Daily_Totals[Day]&amp;Daily_Totals[Term],Daily_Totals[Instruction]))</f>
        <v>0</v>
      </c>
      <c r="U93" cm="1">
        <f t="array" ref="U93">IF(ISBLANK(K93),0,_xlfn.XLOOKUP(R93&amp;S93,Daily_Totals[Day]&amp;Daily_Totals[Term],Daily_Totals[Non-Instruction]))</f>
        <v>0</v>
      </c>
    </row>
    <row r="94" spans="3:33" x14ac:dyDescent="0.3">
      <c r="C94">
        <v>9</v>
      </c>
      <c r="D94" s="37">
        <v>46300</v>
      </c>
      <c r="E94">
        <v>0</v>
      </c>
      <c r="F94">
        <f t="shared" si="18"/>
        <v>0</v>
      </c>
      <c r="K94" s="37"/>
      <c r="L94"/>
      <c r="N94" t="str">
        <f t="shared" si="20"/>
        <v/>
      </c>
      <c r="O94">
        <f t="shared" si="21"/>
        <v>0</v>
      </c>
      <c r="P94">
        <f>IF(IF(ISERROR(MATCH(K94,Rotation_Reset_Dates[Date],0)),0,1)=1,1,IF(ISBLANK(K94),"",IF(OR(rotationDays=1,K94&lt;First_Instructional_Day1),0,IF(AND(rotationDays&gt;1,K94=First_Instructional_Day1),1,IF(P93+IF(OR(N93="Instructional",N93="Not Scheduled"),1,0)&gt;rotationDays,1,P93+IF(OR(N93="Instructional",N93="Not Scheduled"),1,0))))))</f>
        <v>1</v>
      </c>
      <c r="Q94" t="str">
        <f t="shared" si="19"/>
        <v/>
      </c>
      <c r="R94" t="str">
        <f>IF(ISBLANK(K94),"",IF(N94="Operational (no students)",99,IF(N94="Instructional",IF(rotationDays=1,Q94,P94),_xlfn.XLOOKUP(N94,TimeTable_Codes[Description],TimeTable_Codes[TimetableCode]))))</f>
        <v/>
      </c>
      <c r="S94" t="str">
        <f>IF(NOT(ISBLANK(K94)),VLOOKUP(K94,term_lookups[],2),"")</f>
        <v/>
      </c>
      <c r="T94" cm="1">
        <f t="array" ref="T94">IF(ISBLANK(K94),0,_xlfn.XLOOKUP(R94&amp;S94,Daily_Totals[Day]&amp;Daily_Totals[Term],Daily_Totals[Instruction]))</f>
        <v>0</v>
      </c>
      <c r="U94" cm="1">
        <f t="array" ref="U94">IF(ISBLANK(K94),0,_xlfn.XLOOKUP(R94&amp;S94,Daily_Totals[Day]&amp;Daily_Totals[Term],Daily_Totals[Non-Instruction]))</f>
        <v>0</v>
      </c>
    </row>
    <row r="95" spans="3:33" x14ac:dyDescent="0.3">
      <c r="C95">
        <f>+C58+1</f>
        <v>10</v>
      </c>
      <c r="D95" s="37" cm="1">
        <f t="array" ref="D95:D101">TRANSPOSE(Calendar!B45:H45)</f>
        <v>46292</v>
      </c>
      <c r="E95" cm="1">
        <f t="array" ref="E95:E101">TRANSPOSE(Calendar!B46:H46)</f>
        <v>0</v>
      </c>
      <c r="F95">
        <f t="shared" si="18"/>
        <v>0</v>
      </c>
      <c r="K95" s="37"/>
      <c r="L95"/>
      <c r="N95" t="str">
        <f t="shared" si="20"/>
        <v/>
      </c>
      <c r="O95">
        <f t="shared" si="21"/>
        <v>0</v>
      </c>
      <c r="P95">
        <f>IF(IF(ISERROR(MATCH(K95,Rotation_Reset_Dates[Date],0)),0,1)=1,1,IF(ISBLANK(K95),"",IF(OR(rotationDays=1,K95&lt;First_Instructional_Day1),0,IF(AND(rotationDays&gt;1,K95=First_Instructional_Day1),1,IF(P94+IF(OR(N94="Instructional",N94="Not Scheduled"),1,0)&gt;rotationDays,1,P94+IF(OR(N94="Instructional",N94="Not Scheduled"),1,0))))))</f>
        <v>1</v>
      </c>
      <c r="Q95" t="str">
        <f t="shared" si="19"/>
        <v/>
      </c>
      <c r="R95" t="str">
        <f>IF(ISBLANK(K95),"",IF(N95="Operational (no students)",99,IF(N95="Instructional",IF(rotationDays=1,Q95,P95),_xlfn.XLOOKUP(N95,TimeTable_Codes[Description],TimeTable_Codes[TimetableCode]))))</f>
        <v/>
      </c>
      <c r="S95" t="str">
        <f>IF(NOT(ISBLANK(K95)),VLOOKUP(K95,term_lookups[],2),"")</f>
        <v/>
      </c>
      <c r="T95" cm="1">
        <f t="array" ref="T95">IF(ISBLANK(K95),0,_xlfn.XLOOKUP(R95&amp;S95,Daily_Totals[Day]&amp;Daily_Totals[Term],Daily_Totals[Instruction]))</f>
        <v>0</v>
      </c>
      <c r="U95" cm="1">
        <f t="array" ref="U95">IF(ISBLANK(K95),0,_xlfn.XLOOKUP(R95&amp;S95,Daily_Totals[Day]&amp;Daily_Totals[Term],Daily_Totals[Non-Instruction]))</f>
        <v>0</v>
      </c>
    </row>
    <row r="96" spans="3:33" x14ac:dyDescent="0.3">
      <c r="C96">
        <f t="shared" ref="C96:C159" si="22">+C59+1</f>
        <v>10</v>
      </c>
      <c r="D96" s="37">
        <v>46293</v>
      </c>
      <c r="E96">
        <v>0</v>
      </c>
      <c r="F96">
        <f t="shared" si="18"/>
        <v>0</v>
      </c>
      <c r="K96" s="37"/>
      <c r="L96"/>
      <c r="N96" t="str">
        <f t="shared" si="20"/>
        <v/>
      </c>
      <c r="O96">
        <f t="shared" si="21"/>
        <v>0</v>
      </c>
      <c r="P96">
        <f>IF(IF(ISERROR(MATCH(K96,Rotation_Reset_Dates[Date],0)),0,1)=1,1,IF(ISBLANK(K96),"",IF(OR(rotationDays=1,K96&lt;First_Instructional_Day1),0,IF(AND(rotationDays&gt;1,K96=First_Instructional_Day1),1,IF(P95+IF(OR(N95="Instructional",N95="Not Scheduled"),1,0)&gt;rotationDays,1,P95+IF(OR(N95="Instructional",N95="Not Scheduled"),1,0))))))</f>
        <v>1</v>
      </c>
      <c r="Q96" t="str">
        <f t="shared" si="19"/>
        <v/>
      </c>
      <c r="R96" t="str">
        <f>IF(ISBLANK(K96),"",IF(N96="Operational (no students)",99,IF(N96="Instructional",IF(rotationDays=1,Q96,P96),_xlfn.XLOOKUP(N96,TimeTable_Codes[Description],TimeTable_Codes[TimetableCode]))))</f>
        <v/>
      </c>
      <c r="S96" t="str">
        <f>IF(NOT(ISBLANK(K96)),VLOOKUP(K96,term_lookups[],2),"")</f>
        <v/>
      </c>
      <c r="T96" cm="1">
        <f t="array" ref="T96">IF(ISBLANK(K96),0,_xlfn.XLOOKUP(R96&amp;S96,Daily_Totals[Day]&amp;Daily_Totals[Term],Daily_Totals[Instruction]))</f>
        <v>0</v>
      </c>
      <c r="U96" cm="1">
        <f t="array" ref="U96">IF(ISBLANK(K96),0,_xlfn.XLOOKUP(R96&amp;S96,Daily_Totals[Day]&amp;Daily_Totals[Term],Daily_Totals[Non-Instruction]))</f>
        <v>0</v>
      </c>
    </row>
    <row r="97" spans="3:30" x14ac:dyDescent="0.3">
      <c r="C97">
        <f t="shared" si="22"/>
        <v>10</v>
      </c>
      <c r="D97" s="37">
        <v>46294</v>
      </c>
      <c r="E97">
        <v>0</v>
      </c>
      <c r="F97">
        <f t="shared" si="18"/>
        <v>0</v>
      </c>
      <c r="K97" s="37"/>
      <c r="L97"/>
      <c r="N97" t="str">
        <f t="shared" si="20"/>
        <v/>
      </c>
      <c r="O97">
        <f t="shared" si="21"/>
        <v>0</v>
      </c>
      <c r="P97">
        <f>IF(IF(ISERROR(MATCH(K97,Rotation_Reset_Dates[Date],0)),0,1)=1,1,IF(ISBLANK(K97),"",IF(OR(rotationDays=1,K97&lt;First_Instructional_Day1),0,IF(AND(rotationDays&gt;1,K97=First_Instructional_Day1),1,IF(P96+IF(OR(N96="Instructional",N96="Not Scheduled"),1,0)&gt;rotationDays,1,P96+IF(OR(N96="Instructional",N96="Not Scheduled"),1,0))))))</f>
        <v>1</v>
      </c>
      <c r="Q97" t="str">
        <f t="shared" si="19"/>
        <v/>
      </c>
      <c r="R97" t="str">
        <f>IF(ISBLANK(K97),"",IF(N97="Operational (no students)",99,IF(N97="Instructional",IF(rotationDays=1,Q97,P97),_xlfn.XLOOKUP(N97,TimeTable_Codes[Description],TimeTable_Codes[TimetableCode]))))</f>
        <v/>
      </c>
      <c r="S97" t="str">
        <f>IF(NOT(ISBLANK(K97)),VLOOKUP(K97,term_lookups[],2),"")</f>
        <v/>
      </c>
      <c r="T97" cm="1">
        <f t="array" ref="T97">IF(ISBLANK(K97),0,_xlfn.XLOOKUP(R97&amp;S97,Daily_Totals[Day]&amp;Daily_Totals[Term],Daily_Totals[Instruction]))</f>
        <v>0</v>
      </c>
      <c r="U97" cm="1">
        <f t="array" ref="U97">IF(ISBLANK(K97),0,_xlfn.XLOOKUP(R97&amp;S97,Daily_Totals[Day]&amp;Daily_Totals[Term],Daily_Totals[Non-Instruction]))</f>
        <v>0</v>
      </c>
    </row>
    <row r="98" spans="3:30" x14ac:dyDescent="0.3">
      <c r="C98">
        <f t="shared" si="22"/>
        <v>10</v>
      </c>
      <c r="D98" s="37">
        <v>46295</v>
      </c>
      <c r="E98">
        <v>0</v>
      </c>
      <c r="F98">
        <f t="shared" si="18"/>
        <v>0</v>
      </c>
      <c r="K98" s="37"/>
      <c r="L98"/>
      <c r="N98" t="str">
        <f t="shared" si="20"/>
        <v/>
      </c>
      <c r="O98">
        <f t="shared" si="21"/>
        <v>0</v>
      </c>
      <c r="P98">
        <f>IF(IF(ISERROR(MATCH(K98,Rotation_Reset_Dates[Date],0)),0,1)=1,1,IF(ISBLANK(K98),"",IF(OR(rotationDays=1,K98&lt;First_Instructional_Day1),0,IF(AND(rotationDays&gt;1,K98=First_Instructional_Day1),1,IF(P97+IF(OR(N97="Instructional",N97="Not Scheduled"),1,0)&gt;rotationDays,1,P97+IF(OR(N97="Instructional",N97="Not Scheduled"),1,0))))))</f>
        <v>1</v>
      </c>
      <c r="Q98" t="str">
        <f t="shared" si="19"/>
        <v/>
      </c>
      <c r="R98" t="str">
        <f>IF(ISBLANK(K98),"",IF(N98="Operational (no students)",99,IF(N98="Instructional",IF(rotationDays=1,Q98,P98),_xlfn.XLOOKUP(N98,TimeTable_Codes[Description],TimeTable_Codes[TimetableCode]))))</f>
        <v/>
      </c>
      <c r="S98" t="str">
        <f>IF(NOT(ISBLANK(K98)),VLOOKUP(K98,term_lookups[],2),"")</f>
        <v/>
      </c>
      <c r="T98" cm="1">
        <f t="array" ref="T98">IF(ISBLANK(K98),0,_xlfn.XLOOKUP(R98&amp;S98,Daily_Totals[Day]&amp;Daily_Totals[Term],Daily_Totals[Instruction]))</f>
        <v>0</v>
      </c>
      <c r="U98" cm="1">
        <f t="array" ref="U98">IF(ISBLANK(K98),0,_xlfn.XLOOKUP(R98&amp;S98,Daily_Totals[Day]&amp;Daily_Totals[Term],Daily_Totals[Non-Instruction]))</f>
        <v>0</v>
      </c>
    </row>
    <row r="99" spans="3:30" x14ac:dyDescent="0.3">
      <c r="C99">
        <f t="shared" si="22"/>
        <v>10</v>
      </c>
      <c r="D99" s="37">
        <v>46296</v>
      </c>
      <c r="E99">
        <v>0</v>
      </c>
      <c r="F99">
        <f t="shared" si="18"/>
        <v>0</v>
      </c>
      <c r="K99" s="37"/>
      <c r="L99"/>
      <c r="N99" t="str">
        <f t="shared" si="20"/>
        <v/>
      </c>
      <c r="O99">
        <f t="shared" si="21"/>
        <v>0</v>
      </c>
      <c r="P99">
        <f>IF(IF(ISERROR(MATCH(K99,Rotation_Reset_Dates[Date],0)),0,1)=1,1,IF(ISBLANK(K99),"",IF(OR(rotationDays=1,K99&lt;First_Instructional_Day1),0,IF(AND(rotationDays&gt;1,K99=First_Instructional_Day1),1,IF(P98+IF(OR(N98="Instructional",N98="Not Scheduled"),1,0)&gt;rotationDays,1,P98+IF(OR(N98="Instructional",N98="Not Scheduled"),1,0))))))</f>
        <v>1</v>
      </c>
      <c r="Q99" t="str">
        <f t="shared" si="19"/>
        <v/>
      </c>
      <c r="R99" t="str">
        <f>IF(ISBLANK(K99),"",IF(N99="Operational (no students)",99,IF(N99="Instructional",IF(rotationDays=1,Q99,P99),_xlfn.XLOOKUP(N99,TimeTable_Codes[Description],TimeTable_Codes[TimetableCode]))))</f>
        <v/>
      </c>
      <c r="S99" t="str">
        <f>IF(NOT(ISBLANK(K99)),VLOOKUP(K99,term_lookups[],2),"")</f>
        <v/>
      </c>
      <c r="T99" cm="1">
        <f t="array" ref="T99">IF(ISBLANK(K99),0,_xlfn.XLOOKUP(R99&amp;S99,Daily_Totals[Day]&amp;Daily_Totals[Term],Daily_Totals[Instruction]))</f>
        <v>0</v>
      </c>
      <c r="U99" cm="1">
        <f t="array" ref="U99">IF(ISBLANK(K99),0,_xlfn.XLOOKUP(R99&amp;S99,Daily_Totals[Day]&amp;Daily_Totals[Term],Daily_Totals[Non-Instruction]))</f>
        <v>0</v>
      </c>
    </row>
    <row r="100" spans="3:30" x14ac:dyDescent="0.3">
      <c r="C100">
        <f t="shared" si="22"/>
        <v>10</v>
      </c>
      <c r="D100" s="37">
        <v>46297</v>
      </c>
      <c r="E100">
        <v>0</v>
      </c>
      <c r="F100">
        <f t="shared" si="18"/>
        <v>0</v>
      </c>
      <c r="K100" s="37"/>
      <c r="L100"/>
      <c r="N100" t="str">
        <f t="shared" si="20"/>
        <v/>
      </c>
      <c r="O100">
        <f t="shared" si="21"/>
        <v>0</v>
      </c>
      <c r="P100">
        <f>IF(IF(ISERROR(MATCH(K100,Rotation_Reset_Dates[Date],0)),0,1)=1,1,IF(ISBLANK(K100),"",IF(OR(rotationDays=1,K100&lt;First_Instructional_Day1),0,IF(AND(rotationDays&gt;1,K100=First_Instructional_Day1),1,IF(P99+IF(OR(N99="Instructional",N99="Not Scheduled"),1,0)&gt;rotationDays,1,P99+IF(OR(N99="Instructional",N99="Not Scheduled"),1,0))))))</f>
        <v>1</v>
      </c>
      <c r="Q100" t="str">
        <f t="shared" si="19"/>
        <v/>
      </c>
      <c r="R100" t="str">
        <f>IF(ISBLANK(K100),"",IF(N100="Operational (no students)",99,IF(N100="Instructional",IF(rotationDays=1,Q100,P100),_xlfn.XLOOKUP(N100,TimeTable_Codes[Description],TimeTable_Codes[TimetableCode]))))</f>
        <v/>
      </c>
      <c r="S100" t="str">
        <f>IF(NOT(ISBLANK(K100)),VLOOKUP(K100,term_lookups[],2),"")</f>
        <v/>
      </c>
      <c r="T100" cm="1">
        <f t="array" ref="T100">IF(ISBLANK(K100),0,_xlfn.XLOOKUP(R100&amp;S100,Daily_Totals[Day]&amp;Daily_Totals[Term],Daily_Totals[Instruction]))</f>
        <v>0</v>
      </c>
      <c r="U100" cm="1">
        <f t="array" ref="U100">IF(ISBLANK(K100),0,_xlfn.XLOOKUP(R100&amp;S100,Daily_Totals[Day]&amp;Daily_Totals[Term],Daily_Totals[Non-Instruction]))</f>
        <v>0</v>
      </c>
    </row>
    <row r="101" spans="3:30" x14ac:dyDescent="0.3">
      <c r="C101">
        <f t="shared" si="22"/>
        <v>10</v>
      </c>
      <c r="D101" s="37">
        <v>46298</v>
      </c>
      <c r="E101">
        <v>0</v>
      </c>
      <c r="F101">
        <f t="shared" si="18"/>
        <v>0</v>
      </c>
      <c r="K101" s="37"/>
      <c r="L101"/>
      <c r="N101" t="str">
        <f t="shared" si="20"/>
        <v/>
      </c>
      <c r="O101">
        <f t="shared" si="21"/>
        <v>0</v>
      </c>
      <c r="P101">
        <f>IF(IF(ISERROR(MATCH(K101,Rotation_Reset_Dates[Date],0)),0,1)=1,1,IF(ISBLANK(K101),"",IF(OR(rotationDays=1,K101&lt;First_Instructional_Day1),0,IF(AND(rotationDays&gt;1,K101=First_Instructional_Day1),1,IF(P100+IF(OR(N100="Instructional",N100="Not Scheduled"),1,0)&gt;rotationDays,1,P100+IF(OR(N100="Instructional",N100="Not Scheduled"),1,0))))))</f>
        <v>1</v>
      </c>
      <c r="Q101" t="str">
        <f t="shared" si="19"/>
        <v/>
      </c>
      <c r="R101" t="str">
        <f>IF(ISBLANK(K101),"",IF(N101="Operational (no students)",99,IF(N101="Instructional",IF(rotationDays=1,Q101,P101),_xlfn.XLOOKUP(N101,TimeTable_Codes[Description],TimeTable_Codes[TimetableCode]))))</f>
        <v/>
      </c>
      <c r="S101" t="str">
        <f>IF(NOT(ISBLANK(K101)),VLOOKUP(K101,term_lookups[],2),"")</f>
        <v/>
      </c>
      <c r="T101" cm="1">
        <f t="array" ref="T101">IF(ISBLANK(K101),0,_xlfn.XLOOKUP(R101&amp;S101,Daily_Totals[Day]&amp;Daily_Totals[Term],Daily_Totals[Instruction]))</f>
        <v>0</v>
      </c>
      <c r="U101" cm="1">
        <f t="array" ref="U101">IF(ISBLANK(K101),0,_xlfn.XLOOKUP(R101&amp;S101,Daily_Totals[Day]&amp;Daily_Totals[Term],Daily_Totals[Non-Instruction]))</f>
        <v>0</v>
      </c>
      <c r="AC101" t="s">
        <v>4041</v>
      </c>
      <c r="AD101" t="s">
        <v>4042</v>
      </c>
    </row>
    <row r="102" spans="3:30" x14ac:dyDescent="0.3">
      <c r="C102">
        <f t="shared" si="22"/>
        <v>10</v>
      </c>
      <c r="D102" s="37" cm="1">
        <f t="array" ref="D102:D108">TRANSPOSE(Calendar!B47:H47)</f>
        <v>46299</v>
      </c>
      <c r="E102" cm="1">
        <f t="array" ref="E102:E108">TRANSPOSE(Calendar!B48:H48)</f>
        <v>0</v>
      </c>
      <c r="F102">
        <f t="shared" si="18"/>
        <v>0</v>
      </c>
      <c r="K102" s="37"/>
      <c r="L102"/>
      <c r="N102" t="str">
        <f t="shared" si="20"/>
        <v/>
      </c>
      <c r="O102">
        <f t="shared" si="21"/>
        <v>0</v>
      </c>
      <c r="P102">
        <f>IF(IF(ISERROR(MATCH(K102,Rotation_Reset_Dates[Date],0)),0,1)=1,1,IF(ISBLANK(K102),"",IF(OR(rotationDays=1,K102&lt;First_Instructional_Day1),0,IF(AND(rotationDays&gt;1,K102=First_Instructional_Day1),1,IF(P101+IF(OR(N101="Instructional",N101="Not Scheduled"),1,0)&gt;rotationDays,1,P101+IF(OR(N101="Instructional",N101="Not Scheduled"),1,0))))))</f>
        <v>1</v>
      </c>
      <c r="Q102" t="str">
        <f t="shared" si="19"/>
        <v/>
      </c>
      <c r="R102" t="str">
        <f>IF(ISBLANK(K102),"",IF(N102="Operational (no students)",99,IF(N102="Instructional",IF(rotationDays=1,Q102,P102),_xlfn.XLOOKUP(N102,TimeTable_Codes[Description],TimeTable_Codes[TimetableCode]))))</f>
        <v/>
      </c>
      <c r="S102" t="str">
        <f>IF(NOT(ISBLANK(K102)),VLOOKUP(K102,term_lookups[],2),"")</f>
        <v/>
      </c>
      <c r="T102" cm="1">
        <f t="array" ref="T102">IF(ISBLANK(K102),0,_xlfn.XLOOKUP(R102&amp;S102,Daily_Totals[Day]&amp;Daily_Totals[Term],Daily_Totals[Instruction]))</f>
        <v>0</v>
      </c>
      <c r="U102" cm="1">
        <f t="array" ref="U102">IF(ISBLANK(K102),0,_xlfn.XLOOKUP(R102&amp;S102,Daily_Totals[Day]&amp;Daily_Totals[Term],Daily_Totals[Non-Instruction]))</f>
        <v>0</v>
      </c>
      <c r="AC102" t="s">
        <v>22</v>
      </c>
      <c r="AD102">
        <v>90</v>
      </c>
    </row>
    <row r="103" spans="3:30" x14ac:dyDescent="0.3">
      <c r="C103">
        <f t="shared" si="22"/>
        <v>10</v>
      </c>
      <c r="D103" s="37">
        <v>46300</v>
      </c>
      <c r="E103">
        <v>0</v>
      </c>
      <c r="F103">
        <f t="shared" si="18"/>
        <v>0</v>
      </c>
      <c r="K103" s="37"/>
      <c r="L103"/>
      <c r="N103" t="str">
        <f t="shared" si="20"/>
        <v/>
      </c>
      <c r="O103">
        <f t="shared" si="21"/>
        <v>0</v>
      </c>
      <c r="P103">
        <f>IF(IF(ISERROR(MATCH(K103,Rotation_Reset_Dates[Date],0)),0,1)=1,1,IF(ISBLANK(K103),"",IF(OR(rotationDays=1,K103&lt;First_Instructional_Day1),0,IF(AND(rotationDays&gt;1,K103=First_Instructional_Day1),1,IF(P102+IF(OR(N102="Instructional",N102="Not Scheduled"),1,0)&gt;rotationDays,1,P102+IF(OR(N102="Instructional",N102="Not Scheduled"),1,0))))))</f>
        <v>1</v>
      </c>
      <c r="Q103" t="str">
        <f t="shared" si="19"/>
        <v/>
      </c>
      <c r="R103" t="str">
        <f>IF(ISBLANK(K103),"",IF(N103="Operational (no students)",99,IF(N103="Instructional",IF(rotationDays=1,Q103,P103),_xlfn.XLOOKUP(N103,TimeTable_Codes[Description],TimeTable_Codes[TimetableCode]))))</f>
        <v/>
      </c>
      <c r="S103" t="str">
        <f>IF(NOT(ISBLANK(K103)),VLOOKUP(K103,term_lookups[],2),"")</f>
        <v/>
      </c>
      <c r="T103" cm="1">
        <f t="array" ref="T103">IF(ISBLANK(K103),0,_xlfn.XLOOKUP(R103&amp;S103,Daily_Totals[Day]&amp;Daily_Totals[Term],Daily_Totals[Instruction]))</f>
        <v>0</v>
      </c>
      <c r="U103" cm="1">
        <f t="array" ref="U103">IF(ISBLANK(K103),0,_xlfn.XLOOKUP(R103&amp;S103,Daily_Totals[Day]&amp;Daily_Totals[Term],Daily_Totals[Non-Instruction]))</f>
        <v>0</v>
      </c>
      <c r="AC103" t="s">
        <v>23</v>
      </c>
      <c r="AD103">
        <v>91</v>
      </c>
    </row>
    <row r="104" spans="3:30" x14ac:dyDescent="0.3">
      <c r="C104">
        <f t="shared" si="22"/>
        <v>10</v>
      </c>
      <c r="D104" s="37">
        <v>46301</v>
      </c>
      <c r="E104">
        <v>0</v>
      </c>
      <c r="F104">
        <f t="shared" si="18"/>
        <v>0</v>
      </c>
      <c r="K104" s="37"/>
      <c r="L104"/>
      <c r="N104" t="str">
        <f t="shared" si="20"/>
        <v/>
      </c>
      <c r="O104">
        <f t="shared" si="21"/>
        <v>0</v>
      </c>
      <c r="P104">
        <f>IF(IF(ISERROR(MATCH(K104,Rotation_Reset_Dates[Date],0)),0,1)=1,1,IF(ISBLANK(K104),"",IF(OR(rotationDays=1,K104&lt;First_Instructional_Day1),0,IF(AND(rotationDays&gt;1,K104=First_Instructional_Day1),1,IF(P103+IF(OR(N103="Instructional",N103="Not Scheduled"),1,0)&gt;rotationDays,1,P103+IF(OR(N103="Instructional",N103="Not Scheduled"),1,0))))))</f>
        <v>1</v>
      </c>
      <c r="Q104" t="str">
        <f t="shared" si="19"/>
        <v/>
      </c>
      <c r="R104" t="str">
        <f>IF(ISBLANK(K104),"",IF(N104="Operational (no students)",99,IF(N104="Instructional",IF(rotationDays=1,Q104,P104),_xlfn.XLOOKUP(N104,TimeTable_Codes[Description],TimeTable_Codes[TimetableCode]))))</f>
        <v/>
      </c>
      <c r="S104" t="str">
        <f>IF(NOT(ISBLANK(K104)),VLOOKUP(K104,term_lookups[],2),"")</f>
        <v/>
      </c>
      <c r="T104" cm="1">
        <f t="array" ref="T104">IF(ISBLANK(K104),0,_xlfn.XLOOKUP(R104&amp;S104,Daily_Totals[Day]&amp;Daily_Totals[Term],Daily_Totals[Instruction]))</f>
        <v>0</v>
      </c>
      <c r="U104" cm="1">
        <f t="array" ref="U104">IF(ISBLANK(K104),0,_xlfn.XLOOKUP(R104&amp;S104,Daily_Totals[Day]&amp;Daily_Totals[Term],Daily_Totals[Non-Instruction]))</f>
        <v>0</v>
      </c>
      <c r="AC104" t="s">
        <v>24</v>
      </c>
      <c r="AD104">
        <v>92</v>
      </c>
    </row>
    <row r="105" spans="3:30" x14ac:dyDescent="0.3">
      <c r="C105">
        <f t="shared" si="22"/>
        <v>10</v>
      </c>
      <c r="D105" s="37">
        <v>46302</v>
      </c>
      <c r="E105">
        <v>0</v>
      </c>
      <c r="F105">
        <f t="shared" si="18"/>
        <v>0</v>
      </c>
      <c r="K105" s="37"/>
      <c r="L105"/>
      <c r="N105" t="str">
        <f t="shared" si="20"/>
        <v/>
      </c>
      <c r="O105">
        <f t="shared" si="21"/>
        <v>0</v>
      </c>
      <c r="P105">
        <f>IF(IF(ISERROR(MATCH(K105,Rotation_Reset_Dates[Date],0)),0,1)=1,1,IF(ISBLANK(K105),"",IF(OR(rotationDays=1,K105&lt;First_Instructional_Day1),0,IF(AND(rotationDays&gt;1,K105=First_Instructional_Day1),1,IF(P104+IF(OR(N104="Instructional",N104="Not Scheduled"),1,0)&gt;rotationDays,1,P104+IF(OR(N104="Instructional",N104="Not Scheduled"),1,0))))))</f>
        <v>1</v>
      </c>
      <c r="Q105" t="str">
        <f t="shared" si="19"/>
        <v/>
      </c>
      <c r="R105" t="str">
        <f>IF(ISBLANK(K105),"",IF(N105="Operational (no students)",99,IF(N105="Instructional",IF(rotationDays=1,Q105,P105),_xlfn.XLOOKUP(N105,TimeTable_Codes[Description],TimeTable_Codes[TimetableCode]))))</f>
        <v/>
      </c>
      <c r="S105" t="str">
        <f>IF(NOT(ISBLANK(K105)),VLOOKUP(K105,term_lookups[],2),"")</f>
        <v/>
      </c>
      <c r="T105" cm="1">
        <f t="array" ref="T105">IF(ISBLANK(K105),0,_xlfn.XLOOKUP(R105&amp;S105,Daily_Totals[Day]&amp;Daily_Totals[Term],Daily_Totals[Instruction]))</f>
        <v>0</v>
      </c>
      <c r="U105" cm="1">
        <f t="array" ref="U105">IF(ISBLANK(K105),0,_xlfn.XLOOKUP(R105&amp;S105,Daily_Totals[Day]&amp;Daily_Totals[Term],Daily_Totals[Non-Instruction]))</f>
        <v>0</v>
      </c>
      <c r="AC105" t="s">
        <v>4108</v>
      </c>
      <c r="AD105">
        <v>93</v>
      </c>
    </row>
    <row r="106" spans="3:30" x14ac:dyDescent="0.3">
      <c r="C106">
        <f t="shared" si="22"/>
        <v>10</v>
      </c>
      <c r="D106" s="37">
        <v>46303</v>
      </c>
      <c r="E106">
        <v>0</v>
      </c>
      <c r="F106">
        <f t="shared" si="18"/>
        <v>0</v>
      </c>
      <c r="K106" s="37"/>
      <c r="L106"/>
      <c r="N106" t="str">
        <f t="shared" si="20"/>
        <v/>
      </c>
      <c r="O106">
        <f t="shared" si="21"/>
        <v>0</v>
      </c>
      <c r="P106">
        <f>IF(IF(ISERROR(MATCH(K106,Rotation_Reset_Dates[Date],0)),0,1)=1,1,IF(ISBLANK(K106),"",IF(OR(rotationDays=1,K106&lt;First_Instructional_Day1),0,IF(AND(rotationDays&gt;1,K106=First_Instructional_Day1),1,IF(P105+IF(OR(N105="Instructional",N105="Not Scheduled"),1,0)&gt;rotationDays,1,P105+IF(OR(N105="Instructional",N105="Not Scheduled"),1,0))))))</f>
        <v>1</v>
      </c>
      <c r="Q106" t="str">
        <f t="shared" si="19"/>
        <v/>
      </c>
      <c r="R106" t="str">
        <f>IF(ISBLANK(K106),"",IF(N106="Operational (no students)",99,IF(N106="Instructional",IF(rotationDays=1,Q106,P106),_xlfn.XLOOKUP(N106,TimeTable_Codes[Description],TimeTable_Codes[TimetableCode]))))</f>
        <v/>
      </c>
      <c r="S106" t="str">
        <f>IF(NOT(ISBLANK(K106)),VLOOKUP(K106,term_lookups[],2),"")</f>
        <v/>
      </c>
      <c r="T106" cm="1">
        <f t="array" ref="T106">IF(ISBLANK(K106),0,_xlfn.XLOOKUP(R106&amp;S106,Daily_Totals[Day]&amp;Daily_Totals[Term],Daily_Totals[Instruction]))</f>
        <v>0</v>
      </c>
      <c r="U106" cm="1">
        <f t="array" ref="U106">IF(ISBLANK(K106),0,_xlfn.XLOOKUP(R106&amp;S106,Daily_Totals[Day]&amp;Daily_Totals[Term],Daily_Totals[Non-Instruction]))</f>
        <v>0</v>
      </c>
      <c r="AC106" t="s">
        <v>4109</v>
      </c>
      <c r="AD106">
        <v>94</v>
      </c>
    </row>
    <row r="107" spans="3:30" x14ac:dyDescent="0.3">
      <c r="C107">
        <f t="shared" si="22"/>
        <v>10</v>
      </c>
      <c r="D107" s="37">
        <v>46304</v>
      </c>
      <c r="E107">
        <v>0</v>
      </c>
      <c r="F107">
        <f t="shared" si="18"/>
        <v>0</v>
      </c>
      <c r="K107" s="37"/>
      <c r="L107"/>
      <c r="N107" t="str">
        <f t="shared" si="20"/>
        <v/>
      </c>
      <c r="O107">
        <f t="shared" si="21"/>
        <v>0</v>
      </c>
      <c r="P107">
        <f>IF(IF(ISERROR(MATCH(K107,Rotation_Reset_Dates[Date],0)),0,1)=1,1,IF(ISBLANK(K107),"",IF(OR(rotationDays=1,K107&lt;First_Instructional_Day1),0,IF(AND(rotationDays&gt;1,K107=First_Instructional_Day1),1,IF(P106+IF(OR(N106="Instructional",N106="Not Scheduled"),1,0)&gt;rotationDays,1,P106+IF(OR(N106="Instructional",N106="Not Scheduled"),1,0))))))</f>
        <v>1</v>
      </c>
      <c r="Q107" t="str">
        <f t="shared" si="19"/>
        <v/>
      </c>
      <c r="R107" t="str">
        <f>IF(ISBLANK(K107),"",IF(N107="Operational (no students)",99,IF(N107="Instructional",IF(rotationDays=1,Q107,P107),_xlfn.XLOOKUP(N107,TimeTable_Codes[Description],TimeTable_Codes[TimetableCode]))))</f>
        <v/>
      </c>
      <c r="S107" t="str">
        <f>IF(NOT(ISBLANK(K107)),VLOOKUP(K107,term_lookups[],2),"")</f>
        <v/>
      </c>
      <c r="T107" cm="1">
        <f t="array" ref="T107">IF(ISBLANK(K107),0,_xlfn.XLOOKUP(R107&amp;S107,Daily_Totals[Day]&amp;Daily_Totals[Term],Daily_Totals[Instruction]))</f>
        <v>0</v>
      </c>
      <c r="U107" cm="1">
        <f t="array" ref="U107">IF(ISBLANK(K107),0,_xlfn.XLOOKUP(R107&amp;S107,Daily_Totals[Day]&amp;Daily_Totals[Term],Daily_Totals[Non-Instruction]))</f>
        <v>0</v>
      </c>
      <c r="AC107" t="s">
        <v>4110</v>
      </c>
      <c r="AD107">
        <v>95</v>
      </c>
    </row>
    <row r="108" spans="3:30" x14ac:dyDescent="0.3">
      <c r="C108">
        <f t="shared" si="22"/>
        <v>10</v>
      </c>
      <c r="D108" s="37">
        <v>46305</v>
      </c>
      <c r="E108">
        <v>0</v>
      </c>
      <c r="F108">
        <f t="shared" si="18"/>
        <v>0</v>
      </c>
      <c r="K108" s="37"/>
      <c r="L108"/>
      <c r="N108" t="str">
        <f t="shared" si="20"/>
        <v/>
      </c>
      <c r="O108">
        <f t="shared" si="21"/>
        <v>0</v>
      </c>
      <c r="P108">
        <f>IF(IF(ISERROR(MATCH(K108,Rotation_Reset_Dates[Date],0)),0,1)=1,1,IF(ISBLANK(K108),"",IF(OR(rotationDays=1,K108&lt;First_Instructional_Day1),0,IF(AND(rotationDays&gt;1,K108=First_Instructional_Day1),1,IF(P107+IF(OR(N107="Instructional",N107="Not Scheduled"),1,0)&gt;rotationDays,1,P107+IF(OR(N107="Instructional",N107="Not Scheduled"),1,0))))))</f>
        <v>1</v>
      </c>
      <c r="Q108" t="str">
        <f t="shared" si="19"/>
        <v/>
      </c>
      <c r="R108" t="str">
        <f>IF(ISBLANK(K108),"",IF(N108="Operational (no students)",99,IF(N108="Instructional",IF(rotationDays=1,Q108,P108),_xlfn.XLOOKUP(N108,TimeTable_Codes[Description],TimeTable_Codes[TimetableCode]))))</f>
        <v/>
      </c>
      <c r="S108" t="str">
        <f>IF(NOT(ISBLANK(K108)),VLOOKUP(K108,term_lookups[],2),"")</f>
        <v/>
      </c>
      <c r="T108" cm="1">
        <f t="array" ref="T108">IF(ISBLANK(K108),0,_xlfn.XLOOKUP(R108&amp;S108,Daily_Totals[Day]&amp;Daily_Totals[Term],Daily_Totals[Instruction]))</f>
        <v>0</v>
      </c>
      <c r="U108" cm="1">
        <f t="array" ref="U108">IF(ISBLANK(K108),0,_xlfn.XLOOKUP(R108&amp;S108,Daily_Totals[Day]&amp;Daily_Totals[Term],Daily_Totals[Non-Instruction]))</f>
        <v>0</v>
      </c>
      <c r="AC108" t="s">
        <v>25</v>
      </c>
      <c r="AD108">
        <v>96</v>
      </c>
    </row>
    <row r="109" spans="3:30" x14ac:dyDescent="0.3">
      <c r="C109">
        <f t="shared" si="22"/>
        <v>10</v>
      </c>
      <c r="D109" s="37" cm="1">
        <f t="array" ref="D109:D115">TRANSPOSE(Calendar!B49:H49)</f>
        <v>46306</v>
      </c>
      <c r="E109" cm="1">
        <f t="array" ref="E109:E115">TRANSPOSE(Calendar!B50:H50)</f>
        <v>0</v>
      </c>
      <c r="F109">
        <f t="shared" si="18"/>
        <v>0</v>
      </c>
      <c r="K109" s="37"/>
      <c r="L109"/>
      <c r="N109" t="str">
        <f t="shared" si="20"/>
        <v/>
      </c>
      <c r="O109">
        <f t="shared" si="21"/>
        <v>0</v>
      </c>
      <c r="P109">
        <f>IF(IF(ISERROR(MATCH(K109,Rotation_Reset_Dates[Date],0)),0,1)=1,1,IF(ISBLANK(K109),"",IF(OR(rotationDays=1,K109&lt;First_Instructional_Day1),0,IF(AND(rotationDays&gt;1,K109=First_Instructional_Day1),1,IF(P108+IF(OR(N108="Instructional",N108="Not Scheduled"),1,0)&gt;rotationDays,1,P108+IF(OR(N108="Instructional",N108="Not Scheduled"),1,0))))))</f>
        <v>1</v>
      </c>
      <c r="Q109" t="str">
        <f t="shared" si="19"/>
        <v/>
      </c>
      <c r="R109" t="str">
        <f>IF(ISBLANK(K109),"",IF(N109="Operational (no students)",99,IF(N109="Instructional",IF(rotationDays=1,Q109,P109),_xlfn.XLOOKUP(N109,TimeTable_Codes[Description],TimeTable_Codes[TimetableCode]))))</f>
        <v/>
      </c>
      <c r="S109" t="str">
        <f>IF(NOT(ISBLANK(K109)),VLOOKUP(K109,term_lookups[],2),"")</f>
        <v/>
      </c>
      <c r="T109" cm="1">
        <f t="array" ref="T109">IF(ISBLANK(K109),0,_xlfn.XLOOKUP(R109&amp;S109,Daily_Totals[Day]&amp;Daily_Totals[Term],Daily_Totals[Instruction]))</f>
        <v>0</v>
      </c>
      <c r="U109" cm="1">
        <f t="array" ref="U109">IF(ISBLANK(K109),0,_xlfn.XLOOKUP(R109&amp;S109,Daily_Totals[Day]&amp;Daily_Totals[Term],Daily_Totals[Non-Instruction]))</f>
        <v>0</v>
      </c>
      <c r="AC109" t="s">
        <v>26</v>
      </c>
      <c r="AD109">
        <v>97</v>
      </c>
    </row>
    <row r="110" spans="3:30" x14ac:dyDescent="0.3">
      <c r="C110">
        <f t="shared" si="22"/>
        <v>10</v>
      </c>
      <c r="D110" s="37">
        <v>46307</v>
      </c>
      <c r="E110" t="str">
        <v>Closed (non-operational)</v>
      </c>
      <c r="F110">
        <f t="shared" si="18"/>
        <v>0</v>
      </c>
      <c r="K110" s="37"/>
      <c r="L110"/>
      <c r="N110" t="str">
        <f t="shared" si="20"/>
        <v/>
      </c>
      <c r="O110">
        <f t="shared" si="21"/>
        <v>0</v>
      </c>
      <c r="P110">
        <f>IF(IF(ISERROR(MATCH(K110,Rotation_Reset_Dates[Date],0)),0,1)=1,1,IF(ISBLANK(K110),"",IF(OR(rotationDays=1,K110&lt;First_Instructional_Day1),0,IF(AND(rotationDays&gt;1,K110=First_Instructional_Day1),1,IF(P109+IF(OR(N109="Instructional",N109="Not Scheduled"),1,0)&gt;rotationDays,1,P109+IF(OR(N109="Instructional",N109="Not Scheduled"),1,0))))))</f>
        <v>1</v>
      </c>
      <c r="Q110" t="str">
        <f t="shared" si="19"/>
        <v/>
      </c>
      <c r="R110" t="str">
        <f>IF(ISBLANK(K110),"",IF(N110="Operational (no students)",99,IF(N110="Instructional",IF(rotationDays=1,Q110,P110),_xlfn.XLOOKUP(N110,TimeTable_Codes[Description],TimeTable_Codes[TimetableCode]))))</f>
        <v/>
      </c>
      <c r="S110" t="str">
        <f>IF(NOT(ISBLANK(K110)),VLOOKUP(K110,term_lookups[],2),"")</f>
        <v/>
      </c>
      <c r="T110" cm="1">
        <f t="array" ref="T110">IF(ISBLANK(K110),0,_xlfn.XLOOKUP(R110&amp;S110,Daily_Totals[Day]&amp;Daily_Totals[Term],Daily_Totals[Instruction]))</f>
        <v>0</v>
      </c>
      <c r="U110" cm="1">
        <f t="array" ref="U110">IF(ISBLANK(K110),0,_xlfn.XLOOKUP(R110&amp;S110,Daily_Totals[Day]&amp;Daily_Totals[Term],Daily_Totals[Non-Instruction]))</f>
        <v>0</v>
      </c>
      <c r="AC110" t="s">
        <v>27</v>
      </c>
      <c r="AD110">
        <v>98</v>
      </c>
    </row>
    <row r="111" spans="3:30" x14ac:dyDescent="0.3">
      <c r="C111">
        <f t="shared" si="22"/>
        <v>10</v>
      </c>
      <c r="D111" s="37">
        <v>46308</v>
      </c>
      <c r="E111">
        <v>0</v>
      </c>
      <c r="F111">
        <f t="shared" si="18"/>
        <v>0</v>
      </c>
      <c r="K111" s="37"/>
      <c r="L111"/>
      <c r="N111" t="str">
        <f t="shared" si="20"/>
        <v/>
      </c>
      <c r="O111">
        <f t="shared" si="21"/>
        <v>0</v>
      </c>
      <c r="P111">
        <f>IF(IF(ISERROR(MATCH(K111,Rotation_Reset_Dates[Date],0)),0,1)=1,1,IF(ISBLANK(K111),"",IF(OR(rotationDays=1,K111&lt;First_Instructional_Day1),0,IF(AND(rotationDays&gt;1,K111=First_Instructional_Day1),1,IF(P110+IF(OR(N110="Instructional",N110="Not Scheduled"),1,0)&gt;rotationDays,1,P110+IF(OR(N110="Instructional",N110="Not Scheduled"),1,0))))))</f>
        <v>1</v>
      </c>
      <c r="Q111" t="str">
        <f t="shared" si="19"/>
        <v/>
      </c>
      <c r="R111" t="str">
        <f>IF(ISBLANK(K111),"",IF(N111="Operational (no students)",99,IF(N111="Instructional",IF(rotationDays=1,Q111,P111),_xlfn.XLOOKUP(N111,TimeTable_Codes[Description],TimeTable_Codes[TimetableCode]))))</f>
        <v/>
      </c>
      <c r="S111" t="str">
        <f>IF(NOT(ISBLANK(K111)),VLOOKUP(K111,term_lookups[],2),"")</f>
        <v/>
      </c>
      <c r="T111" cm="1">
        <f t="array" ref="T111">IF(ISBLANK(K111),0,_xlfn.XLOOKUP(R111&amp;S111,Daily_Totals[Day]&amp;Daily_Totals[Term],Daily_Totals[Instruction]))</f>
        <v>0</v>
      </c>
      <c r="U111" cm="1">
        <f t="array" ref="U111">IF(ISBLANK(K111),0,_xlfn.XLOOKUP(R111&amp;S111,Daily_Totals[Day]&amp;Daily_Totals[Term],Daily_Totals[Non-Instruction]))</f>
        <v>0</v>
      </c>
      <c r="AC111" t="s">
        <v>4114</v>
      </c>
      <c r="AD111">
        <v>99</v>
      </c>
    </row>
    <row r="112" spans="3:30" x14ac:dyDescent="0.3">
      <c r="C112">
        <f t="shared" si="22"/>
        <v>10</v>
      </c>
      <c r="D112" s="37">
        <v>46309</v>
      </c>
      <c r="E112">
        <v>0</v>
      </c>
      <c r="F112">
        <f t="shared" si="18"/>
        <v>0</v>
      </c>
      <c r="K112" s="37"/>
      <c r="L112"/>
      <c r="N112" t="str">
        <f t="shared" si="20"/>
        <v/>
      </c>
      <c r="O112">
        <f t="shared" si="21"/>
        <v>0</v>
      </c>
      <c r="P112">
        <f>IF(IF(ISERROR(MATCH(K112,Rotation_Reset_Dates[Date],0)),0,1)=1,1,IF(ISBLANK(K112),"",IF(OR(rotationDays=1,K112&lt;First_Instructional_Day1),0,IF(AND(rotationDays&gt;1,K112=First_Instructional_Day1),1,IF(P111+IF(OR(N111="Instructional",N111="Not Scheduled"),1,0)&gt;rotationDays,1,P111+IF(OR(N111="Instructional",N111="Not Scheduled"),1,0))))))</f>
        <v>1</v>
      </c>
      <c r="Q112" t="str">
        <f t="shared" si="19"/>
        <v/>
      </c>
      <c r="R112" t="str">
        <f>IF(ISBLANK(K112),"",IF(N112="Operational (no students)",99,IF(N112="Instructional",IF(rotationDays=1,Q112,P112),_xlfn.XLOOKUP(N112,TimeTable_Codes[Description],TimeTable_Codes[TimetableCode]))))</f>
        <v/>
      </c>
      <c r="S112" t="str">
        <f>IF(NOT(ISBLANK(K112)),VLOOKUP(K112,term_lookups[],2),"")</f>
        <v/>
      </c>
      <c r="T112" cm="1">
        <f t="array" ref="T112">IF(ISBLANK(K112),0,_xlfn.XLOOKUP(R112&amp;S112,Daily_Totals[Day]&amp;Daily_Totals[Term],Daily_Totals[Instruction]))</f>
        <v>0</v>
      </c>
      <c r="U112" cm="1">
        <f t="array" ref="U112">IF(ISBLANK(K112),0,_xlfn.XLOOKUP(R112&amp;S112,Daily_Totals[Day]&amp;Daily_Totals[Term],Daily_Totals[Non-Instruction]))</f>
        <v>0</v>
      </c>
      <c r="AC112" t="s">
        <v>4111</v>
      </c>
      <c r="AD112">
        <v>100</v>
      </c>
    </row>
    <row r="113" spans="3:32" x14ac:dyDescent="0.3">
      <c r="C113">
        <f t="shared" si="22"/>
        <v>10</v>
      </c>
      <c r="D113" s="37">
        <v>46310</v>
      </c>
      <c r="E113">
        <v>0</v>
      </c>
      <c r="F113">
        <f t="shared" si="18"/>
        <v>0</v>
      </c>
      <c r="K113" s="37"/>
      <c r="L113"/>
      <c r="N113" t="str">
        <f t="shared" si="20"/>
        <v/>
      </c>
      <c r="O113">
        <f t="shared" si="21"/>
        <v>0</v>
      </c>
      <c r="P113">
        <f>IF(IF(ISERROR(MATCH(K113,Rotation_Reset_Dates[Date],0)),0,1)=1,1,IF(ISBLANK(K113),"",IF(OR(rotationDays=1,K113&lt;First_Instructional_Day1),0,IF(AND(rotationDays&gt;1,K113=First_Instructional_Day1),1,IF(P112+IF(OR(N112="Instructional",N112="Not Scheduled"),1,0)&gt;rotationDays,1,P112+IF(OR(N112="Instructional",N112="Not Scheduled"),1,0))))))</f>
        <v>1</v>
      </c>
      <c r="Q113" t="str">
        <f t="shared" si="19"/>
        <v/>
      </c>
      <c r="R113" t="str">
        <f>IF(ISBLANK(K113),"",IF(N113="Operational (no students)",99,IF(N113="Instructional",IF(rotationDays=1,Q113,P113),_xlfn.XLOOKUP(N113,TimeTable_Codes[Description],TimeTable_Codes[TimetableCode]))))</f>
        <v/>
      </c>
      <c r="S113" t="str">
        <f>IF(NOT(ISBLANK(K113)),VLOOKUP(K113,term_lookups[],2),"")</f>
        <v/>
      </c>
      <c r="T113" cm="1">
        <f t="array" ref="T113">IF(ISBLANK(K113),0,_xlfn.XLOOKUP(R113&amp;S113,Daily_Totals[Day]&amp;Daily_Totals[Term],Daily_Totals[Instruction]))</f>
        <v>0</v>
      </c>
      <c r="U113" cm="1">
        <f t="array" ref="U113">IF(ISBLANK(K113),0,_xlfn.XLOOKUP(R113&amp;S113,Daily_Totals[Day]&amp;Daily_Totals[Term],Daily_Totals[Non-Instruction]))</f>
        <v>0</v>
      </c>
      <c r="AC113" t="s">
        <v>4079</v>
      </c>
      <c r="AD113">
        <v>101</v>
      </c>
    </row>
    <row r="114" spans="3:32" x14ac:dyDescent="0.3">
      <c r="C114">
        <f t="shared" si="22"/>
        <v>10</v>
      </c>
      <c r="D114" s="37">
        <v>46311</v>
      </c>
      <c r="E114">
        <v>0</v>
      </c>
      <c r="F114">
        <f t="shared" si="18"/>
        <v>0</v>
      </c>
      <c r="K114" s="37"/>
      <c r="L114"/>
      <c r="N114" t="str">
        <f t="shared" si="20"/>
        <v/>
      </c>
      <c r="O114">
        <f t="shared" si="21"/>
        <v>0</v>
      </c>
      <c r="P114">
        <f>IF(IF(ISERROR(MATCH(K114,Rotation_Reset_Dates[Date],0)),0,1)=1,1,IF(ISBLANK(K114),"",IF(OR(rotationDays=1,K114&lt;First_Instructional_Day1),0,IF(AND(rotationDays&gt;1,K114=First_Instructional_Day1),1,IF(P113+IF(OR(N113="Instructional",N113="Not Scheduled"),1,0)&gt;rotationDays,1,P113+IF(OR(N113="Instructional",N113="Not Scheduled"),1,0))))))</f>
        <v>1</v>
      </c>
      <c r="Q114" t="str">
        <f t="shared" si="19"/>
        <v/>
      </c>
      <c r="R114" t="str">
        <f>IF(ISBLANK(K114),"",IF(N114="Operational (no students)",99,IF(N114="Instructional",IF(rotationDays=1,Q114,P114),_xlfn.XLOOKUP(N114,TimeTable_Codes[Description],TimeTable_Codes[TimetableCode]))))</f>
        <v/>
      </c>
      <c r="S114" t="str">
        <f>IF(NOT(ISBLANK(K114)),VLOOKUP(K114,term_lookups[],2),"")</f>
        <v/>
      </c>
      <c r="T114" cm="1">
        <f t="array" ref="T114">IF(ISBLANK(K114),0,_xlfn.XLOOKUP(R114&amp;S114,Daily_Totals[Day]&amp;Daily_Totals[Term],Daily_Totals[Instruction]))</f>
        <v>0</v>
      </c>
      <c r="U114" cm="1">
        <f t="array" ref="U114">IF(ISBLANK(K114),0,_xlfn.XLOOKUP(R114&amp;S114,Daily_Totals[Day]&amp;Daily_Totals[Term],Daily_Totals[Non-Instruction]))</f>
        <v>0</v>
      </c>
    </row>
    <row r="115" spans="3:32" x14ac:dyDescent="0.3">
      <c r="C115">
        <f t="shared" si="22"/>
        <v>10</v>
      </c>
      <c r="D115" s="37">
        <v>46312</v>
      </c>
      <c r="E115">
        <v>0</v>
      </c>
      <c r="F115">
        <f t="shared" si="18"/>
        <v>0</v>
      </c>
      <c r="K115" s="37"/>
      <c r="L115"/>
      <c r="N115" t="str">
        <f t="shared" si="20"/>
        <v/>
      </c>
      <c r="O115">
        <f t="shared" si="21"/>
        <v>0</v>
      </c>
      <c r="P115">
        <f>IF(IF(ISERROR(MATCH(K115,Rotation_Reset_Dates[Date],0)),0,1)=1,1,IF(ISBLANK(K115),"",IF(OR(rotationDays=1,K115&lt;First_Instructional_Day1),0,IF(AND(rotationDays&gt;1,K115=First_Instructional_Day1),1,IF(P114+IF(OR(N114="Instructional",N114="Not Scheduled"),1,0)&gt;rotationDays,1,P114+IF(OR(N114="Instructional",N114="Not Scheduled"),1,0))))))</f>
        <v>1</v>
      </c>
      <c r="Q115" t="str">
        <f t="shared" si="19"/>
        <v/>
      </c>
      <c r="R115" t="str">
        <f>IF(ISBLANK(K115),"",IF(N115="Operational (no students)",99,IF(N115="Instructional",IF(rotationDays=1,Q115,P115),_xlfn.XLOOKUP(N115,TimeTable_Codes[Description],TimeTable_Codes[TimetableCode]))))</f>
        <v/>
      </c>
      <c r="S115" t="str">
        <f>IF(NOT(ISBLANK(K115)),VLOOKUP(K115,term_lookups[],2),"")</f>
        <v/>
      </c>
      <c r="T115" cm="1">
        <f t="array" ref="T115">IF(ISBLANK(K115),0,_xlfn.XLOOKUP(R115&amp;S115,Daily_Totals[Day]&amp;Daily_Totals[Term],Daily_Totals[Instruction]))</f>
        <v>0</v>
      </c>
      <c r="U115" cm="1">
        <f t="array" ref="U115">IF(ISBLANK(K115),0,_xlfn.XLOOKUP(R115&amp;S115,Daily_Totals[Day]&amp;Daily_Totals[Term],Daily_Totals[Non-Instruction]))</f>
        <v>0</v>
      </c>
    </row>
    <row r="116" spans="3:32" x14ac:dyDescent="0.3">
      <c r="C116">
        <f t="shared" si="22"/>
        <v>10</v>
      </c>
      <c r="D116" s="37" cm="1">
        <f t="array" ref="D116:D122">TRANSPOSE(Calendar!B51:H51)</f>
        <v>46313</v>
      </c>
      <c r="E116" cm="1">
        <f t="array" ref="E116:E122">TRANSPOSE(Calendar!B52:H52)</f>
        <v>0</v>
      </c>
      <c r="F116">
        <f t="shared" si="18"/>
        <v>0</v>
      </c>
      <c r="K116" s="37"/>
      <c r="L116"/>
      <c r="N116" t="str">
        <f t="shared" si="20"/>
        <v/>
      </c>
      <c r="O116">
        <f t="shared" si="21"/>
        <v>0</v>
      </c>
      <c r="P116">
        <f>IF(IF(ISERROR(MATCH(K116,Rotation_Reset_Dates[Date],0)),0,1)=1,1,IF(ISBLANK(K116),"",IF(OR(rotationDays=1,K116&lt;First_Instructional_Day1),0,IF(AND(rotationDays&gt;1,K116=First_Instructional_Day1),1,IF(P115+IF(OR(N115="Instructional",N115="Not Scheduled"),1,0)&gt;rotationDays,1,P115+IF(OR(N115="Instructional",N115="Not Scheduled"),1,0))))))</f>
        <v>1</v>
      </c>
      <c r="Q116" t="str">
        <f t="shared" si="19"/>
        <v/>
      </c>
      <c r="R116" t="str">
        <f>IF(ISBLANK(K116),"",IF(N116="Operational (no students)",99,IF(N116="Instructional",IF(rotationDays=1,Q116,P116),_xlfn.XLOOKUP(N116,TimeTable_Codes[Description],TimeTable_Codes[TimetableCode]))))</f>
        <v/>
      </c>
      <c r="S116" t="str">
        <f>IF(NOT(ISBLANK(K116)),VLOOKUP(K116,term_lookups[],2),"")</f>
        <v/>
      </c>
      <c r="T116" cm="1">
        <f t="array" ref="T116">IF(ISBLANK(K116),0,_xlfn.XLOOKUP(R116&amp;S116,Daily_Totals[Day]&amp;Daily_Totals[Term],Daily_Totals[Instruction]))</f>
        <v>0</v>
      </c>
      <c r="U116" cm="1">
        <f t="array" ref="U116">IF(ISBLANK(K116),0,_xlfn.XLOOKUP(R116&amp;S116,Daily_Totals[Day]&amp;Daily_Totals[Term],Daily_Totals[Non-Instruction]))</f>
        <v>0</v>
      </c>
    </row>
    <row r="117" spans="3:32" x14ac:dyDescent="0.3">
      <c r="C117">
        <f t="shared" si="22"/>
        <v>10</v>
      </c>
      <c r="D117" s="37">
        <v>46314</v>
      </c>
      <c r="E117">
        <v>0</v>
      </c>
      <c r="F117">
        <f t="shared" si="18"/>
        <v>0</v>
      </c>
      <c r="K117" s="37"/>
      <c r="L117"/>
      <c r="N117" t="str">
        <f t="shared" si="20"/>
        <v/>
      </c>
      <c r="O117">
        <f t="shared" si="21"/>
        <v>0</v>
      </c>
      <c r="P117">
        <f>IF(IF(ISERROR(MATCH(K117,Rotation_Reset_Dates[Date],0)),0,1)=1,1,IF(ISBLANK(K117),"",IF(OR(rotationDays=1,K117&lt;First_Instructional_Day1),0,IF(AND(rotationDays&gt;1,K117=First_Instructional_Day1),1,IF(P116+IF(OR(N116="Instructional",N116="Not Scheduled"),1,0)&gt;rotationDays,1,P116+IF(OR(N116="Instructional",N116="Not Scheduled"),1,0))))))</f>
        <v>1</v>
      </c>
      <c r="Q117" t="str">
        <f t="shared" si="19"/>
        <v/>
      </c>
      <c r="R117" t="str">
        <f>IF(ISBLANK(K117),"",IF(N117="Operational (no students)",99,IF(N117="Instructional",IF(rotationDays=1,Q117,P117),_xlfn.XLOOKUP(N117,TimeTable_Codes[Description],TimeTable_Codes[TimetableCode]))))</f>
        <v/>
      </c>
      <c r="S117" t="str">
        <f>IF(NOT(ISBLANK(K117)),VLOOKUP(K117,term_lookups[],2),"")</f>
        <v/>
      </c>
      <c r="T117" cm="1">
        <f t="array" ref="T117">IF(ISBLANK(K117),0,_xlfn.XLOOKUP(R117&amp;S117,Daily_Totals[Day]&amp;Daily_Totals[Term],Daily_Totals[Instruction]))</f>
        <v>0</v>
      </c>
      <c r="U117" cm="1">
        <f t="array" ref="U117">IF(ISBLANK(K117),0,_xlfn.XLOOKUP(R117&amp;S117,Daily_Totals[Day]&amp;Daily_Totals[Term],Daily_Totals[Non-Instruction]))</f>
        <v>0</v>
      </c>
    </row>
    <row r="118" spans="3:32" x14ac:dyDescent="0.3">
      <c r="C118">
        <f t="shared" si="22"/>
        <v>10</v>
      </c>
      <c r="D118" s="37">
        <v>46315</v>
      </c>
      <c r="E118">
        <v>0</v>
      </c>
      <c r="F118">
        <f t="shared" si="18"/>
        <v>0</v>
      </c>
      <c r="K118" s="37"/>
      <c r="L118"/>
      <c r="N118" t="str">
        <f t="shared" si="20"/>
        <v/>
      </c>
      <c r="O118">
        <f t="shared" si="21"/>
        <v>0</v>
      </c>
      <c r="P118">
        <f>IF(IF(ISERROR(MATCH(K118,Rotation_Reset_Dates[Date],0)),0,1)=1,1,IF(ISBLANK(K118),"",IF(OR(rotationDays=1,K118&lt;First_Instructional_Day1),0,IF(AND(rotationDays&gt;1,K118=First_Instructional_Day1),1,IF(P117+IF(OR(N117="Instructional",N117="Not Scheduled"),1,0)&gt;rotationDays,1,P117+IF(OR(N117="Instructional",N117="Not Scheduled"),1,0))))))</f>
        <v>1</v>
      </c>
      <c r="Q118" t="str">
        <f t="shared" si="19"/>
        <v/>
      </c>
      <c r="R118" t="str">
        <f>IF(ISBLANK(K118),"",IF(N118="Operational (no students)",99,IF(N118="Instructional",IF(rotationDays=1,Q118,P118),_xlfn.XLOOKUP(N118,TimeTable_Codes[Description],TimeTable_Codes[TimetableCode]))))</f>
        <v/>
      </c>
      <c r="S118" t="str">
        <f>IF(NOT(ISBLANK(K118)),VLOOKUP(K118,term_lookups[],2),"")</f>
        <v/>
      </c>
      <c r="T118" cm="1">
        <f t="array" ref="T118">IF(ISBLANK(K118),0,_xlfn.XLOOKUP(R118&amp;S118,Daily_Totals[Day]&amp;Daily_Totals[Term],Daily_Totals[Instruction]))</f>
        <v>0</v>
      </c>
      <c r="U118" cm="1">
        <f t="array" ref="U118">IF(ISBLANK(K118),0,_xlfn.XLOOKUP(R118&amp;S118,Daily_Totals[Day]&amp;Daily_Totals[Term],Daily_Totals[Non-Instruction]))</f>
        <v>0</v>
      </c>
    </row>
    <row r="119" spans="3:32" x14ac:dyDescent="0.3">
      <c r="C119">
        <f t="shared" si="22"/>
        <v>10</v>
      </c>
      <c r="D119" s="37">
        <v>46316</v>
      </c>
      <c r="E119">
        <v>0</v>
      </c>
      <c r="F119">
        <f t="shared" si="18"/>
        <v>0</v>
      </c>
      <c r="K119" s="37"/>
      <c r="L119"/>
      <c r="N119" t="str">
        <f t="shared" si="20"/>
        <v/>
      </c>
      <c r="O119">
        <f t="shared" si="21"/>
        <v>0</v>
      </c>
      <c r="P119">
        <f>IF(IF(ISERROR(MATCH(K119,Rotation_Reset_Dates[Date],0)),0,1)=1,1,IF(ISBLANK(K119),"",IF(OR(rotationDays=1,K119&lt;First_Instructional_Day1),0,IF(AND(rotationDays&gt;1,K119=First_Instructional_Day1),1,IF(P118+IF(OR(N118="Instructional",N118="Not Scheduled"),1,0)&gt;rotationDays,1,P118+IF(OR(N118="Instructional",N118="Not Scheduled"),1,0))))))</f>
        <v>1</v>
      </c>
      <c r="Q119" t="str">
        <f t="shared" si="19"/>
        <v/>
      </c>
      <c r="R119" t="str">
        <f>IF(ISBLANK(K119),"",IF(N119="Operational (no students)",99,IF(N119="Instructional",IF(rotationDays=1,Q119,P119),_xlfn.XLOOKUP(N119,TimeTable_Codes[Description],TimeTable_Codes[TimetableCode]))))</f>
        <v/>
      </c>
      <c r="S119" t="str">
        <f>IF(NOT(ISBLANK(K119)),VLOOKUP(K119,term_lookups[],2),"")</f>
        <v/>
      </c>
      <c r="T119" cm="1">
        <f t="array" ref="T119">IF(ISBLANK(K119),0,_xlfn.XLOOKUP(R119&amp;S119,Daily_Totals[Day]&amp;Daily_Totals[Term],Daily_Totals[Instruction]))</f>
        <v>0</v>
      </c>
      <c r="U119" cm="1">
        <f t="array" ref="U119">IF(ISBLANK(K119),0,_xlfn.XLOOKUP(R119&amp;S119,Daily_Totals[Day]&amp;Daily_Totals[Term],Daily_Totals[Non-Instruction]))</f>
        <v>0</v>
      </c>
    </row>
    <row r="120" spans="3:32" x14ac:dyDescent="0.3">
      <c r="C120">
        <f t="shared" si="22"/>
        <v>10</v>
      </c>
      <c r="D120" s="37">
        <v>46317</v>
      </c>
      <c r="E120">
        <v>0</v>
      </c>
      <c r="F120">
        <f t="shared" si="18"/>
        <v>0</v>
      </c>
      <c r="K120" s="37"/>
      <c r="L120"/>
      <c r="N120" t="str">
        <f t="shared" si="20"/>
        <v/>
      </c>
      <c r="O120">
        <f t="shared" si="21"/>
        <v>0</v>
      </c>
      <c r="P120">
        <f>IF(IF(ISERROR(MATCH(K120,Rotation_Reset_Dates[Date],0)),0,1)=1,1,IF(ISBLANK(K120),"",IF(OR(rotationDays=1,K120&lt;First_Instructional_Day1),0,IF(AND(rotationDays&gt;1,K120=First_Instructional_Day1),1,IF(P119+IF(OR(N119="Instructional",N119="Not Scheduled"),1,0)&gt;rotationDays,1,P119+IF(OR(N119="Instructional",N119="Not Scheduled"),1,0))))))</f>
        <v>1</v>
      </c>
      <c r="Q120" t="str">
        <f t="shared" si="19"/>
        <v/>
      </c>
      <c r="R120" t="str">
        <f>IF(ISBLANK(K120),"",IF(N120="Operational (no students)",99,IF(N120="Instructional",IF(rotationDays=1,Q120,P120),_xlfn.XLOOKUP(N120,TimeTable_Codes[Description],TimeTable_Codes[TimetableCode]))))</f>
        <v/>
      </c>
      <c r="S120" t="str">
        <f>IF(NOT(ISBLANK(K120)),VLOOKUP(K120,term_lookups[],2),"")</f>
        <v/>
      </c>
      <c r="T120" cm="1">
        <f t="array" ref="T120">IF(ISBLANK(K120),0,_xlfn.XLOOKUP(R120&amp;S120,Daily_Totals[Day]&amp;Daily_Totals[Term],Daily_Totals[Instruction]))</f>
        <v>0</v>
      </c>
      <c r="U120" cm="1">
        <f t="array" ref="U120">IF(ISBLANK(K120),0,_xlfn.XLOOKUP(R120&amp;S120,Daily_Totals[Day]&amp;Daily_Totals[Term],Daily_Totals[Non-Instruction]))</f>
        <v>0</v>
      </c>
    </row>
    <row r="121" spans="3:32" x14ac:dyDescent="0.3">
      <c r="C121">
        <f t="shared" si="22"/>
        <v>10</v>
      </c>
      <c r="D121" s="37">
        <v>46318</v>
      </c>
      <c r="E121">
        <v>0</v>
      </c>
      <c r="F121">
        <f t="shared" si="18"/>
        <v>0</v>
      </c>
      <c r="K121" s="37"/>
      <c r="L121"/>
      <c r="N121" t="str">
        <f t="shared" si="20"/>
        <v/>
      </c>
      <c r="O121">
        <f t="shared" si="21"/>
        <v>0</v>
      </c>
      <c r="P121">
        <f>IF(IF(ISERROR(MATCH(K121,Rotation_Reset_Dates[Date],0)),0,1)=1,1,IF(ISBLANK(K121),"",IF(OR(rotationDays=1,K121&lt;First_Instructional_Day1),0,IF(AND(rotationDays&gt;1,K121=First_Instructional_Day1),1,IF(P120+IF(OR(N120="Instructional",N120="Not Scheduled"),1,0)&gt;rotationDays,1,P120+IF(OR(N120="Instructional",N120="Not Scheduled"),1,0))))))</f>
        <v>1</v>
      </c>
      <c r="Q121" t="str">
        <f t="shared" si="19"/>
        <v/>
      </c>
      <c r="R121" t="str">
        <f>IF(ISBLANK(K121),"",IF(N121="Operational (no students)",99,IF(N121="Instructional",IF(rotationDays=1,Q121,P121),_xlfn.XLOOKUP(N121,TimeTable_Codes[Description],TimeTable_Codes[TimetableCode]))))</f>
        <v/>
      </c>
      <c r="S121" t="str">
        <f>IF(NOT(ISBLANK(K121)),VLOOKUP(K121,term_lookups[],2),"")</f>
        <v/>
      </c>
      <c r="T121" cm="1">
        <f t="array" ref="T121">IF(ISBLANK(K121),0,_xlfn.XLOOKUP(R121&amp;S121,Daily_Totals[Day]&amp;Daily_Totals[Term],Daily_Totals[Instruction]))</f>
        <v>0</v>
      </c>
      <c r="U121" cm="1">
        <f t="array" ref="U121">IF(ISBLANK(K121),0,_xlfn.XLOOKUP(R121&amp;S121,Daily_Totals[Day]&amp;Daily_Totals[Term],Daily_Totals[Non-Instruction]))</f>
        <v>0</v>
      </c>
      <c r="AC121" t="s">
        <v>28</v>
      </c>
      <c r="AD121" t="s">
        <v>4047</v>
      </c>
      <c r="AE121" t="s">
        <v>4039</v>
      </c>
      <c r="AF121" t="s">
        <v>4048</v>
      </c>
    </row>
    <row r="122" spans="3:32" x14ac:dyDescent="0.3">
      <c r="C122">
        <f t="shared" si="22"/>
        <v>10</v>
      </c>
      <c r="D122" s="37">
        <v>46319</v>
      </c>
      <c r="E122">
        <v>0</v>
      </c>
      <c r="F122">
        <f t="shared" si="18"/>
        <v>0</v>
      </c>
      <c r="K122" s="37"/>
      <c r="L122"/>
      <c r="N122" t="str">
        <f t="shared" si="20"/>
        <v/>
      </c>
      <c r="O122">
        <f t="shared" si="21"/>
        <v>0</v>
      </c>
      <c r="P122">
        <f>IF(IF(ISERROR(MATCH(K122,Rotation_Reset_Dates[Date],0)),0,1)=1,1,IF(ISBLANK(K122),"",IF(OR(rotationDays=1,K122&lt;First_Instructional_Day1),0,IF(AND(rotationDays&gt;1,K122=First_Instructional_Day1),1,IF(P121+IF(OR(N121="Instructional",N121="Not Scheduled"),1,0)&gt;rotationDays,1,P121+IF(OR(N121="Instructional",N121="Not Scheduled"),1,0))))))</f>
        <v>1</v>
      </c>
      <c r="Q122" t="str">
        <f t="shared" si="19"/>
        <v/>
      </c>
      <c r="R122" t="str">
        <f>IF(ISBLANK(K122),"",IF(N122="Operational (no students)",99,IF(N122="Instructional",IF(rotationDays=1,Q122,P122),_xlfn.XLOOKUP(N122,TimeTable_Codes[Description],TimeTable_Codes[TimetableCode]))))</f>
        <v/>
      </c>
      <c r="S122" t="str">
        <f>IF(NOT(ISBLANK(K122)),VLOOKUP(K122,term_lookups[],2),"")</f>
        <v/>
      </c>
      <c r="T122" cm="1">
        <f t="array" ref="T122">IF(ISBLANK(K122),0,_xlfn.XLOOKUP(R122&amp;S122,Daily_Totals[Day]&amp;Daily_Totals[Term],Daily_Totals[Instruction]))</f>
        <v>0</v>
      </c>
      <c r="U122" cm="1">
        <f t="array" ref="U122">IF(ISBLANK(K122),0,_xlfn.XLOOKUP(R122&amp;S122,Daily_Totals[Day]&amp;Daily_Totals[Term],Daily_Totals[Non-Instruction]))</f>
        <v>0</v>
      </c>
      <c r="AC122" t="s">
        <v>5</v>
      </c>
      <c r="AD122">
        <v>8</v>
      </c>
      <c r="AE122">
        <f>SUMIFS($T$21:$T$226,$J$21:$J$226,"="&amp;AD122)</f>
        <v>0</v>
      </c>
      <c r="AF122">
        <f>SUMIFS($U$21:$U$226,$J$21:$J$226,"="&amp;AD122)</f>
        <v>0</v>
      </c>
    </row>
    <row r="123" spans="3:32" x14ac:dyDescent="0.3">
      <c r="C123">
        <f t="shared" si="22"/>
        <v>10</v>
      </c>
      <c r="D123" s="37" cm="1">
        <f t="array" ref="D123:D129">TRANSPOSE(Calendar!B53:H53)</f>
        <v>46320</v>
      </c>
      <c r="E123" cm="1">
        <f t="array" ref="E123:E129">TRANSPOSE(Calendar!B54:H54)</f>
        <v>0</v>
      </c>
      <c r="F123">
        <f t="shared" si="18"/>
        <v>0</v>
      </c>
      <c r="K123" s="37"/>
      <c r="L123"/>
      <c r="N123" t="str">
        <f t="shared" si="20"/>
        <v/>
      </c>
      <c r="O123">
        <f t="shared" si="21"/>
        <v>0</v>
      </c>
      <c r="P123">
        <f>IF(IF(ISERROR(MATCH(K123,Rotation_Reset_Dates[Date],0)),0,1)=1,1,IF(ISBLANK(K123),"",IF(OR(rotationDays=1,K123&lt;First_Instructional_Day1),0,IF(AND(rotationDays&gt;1,K123=First_Instructional_Day1),1,IF(P122+IF(OR(N122="Instructional",N122="Not Scheduled"),1,0)&gt;rotationDays,1,P122+IF(OR(N122="Instructional",N122="Not Scheduled"),1,0))))))</f>
        <v>1</v>
      </c>
      <c r="Q123" t="str">
        <f t="shared" si="19"/>
        <v/>
      </c>
      <c r="R123" t="str">
        <f>IF(ISBLANK(K123),"",IF(N123="Operational (no students)",99,IF(N123="Instructional",IF(rotationDays=1,Q123,P123),_xlfn.XLOOKUP(N123,TimeTable_Codes[Description],TimeTable_Codes[TimetableCode]))))</f>
        <v/>
      </c>
      <c r="S123" t="str">
        <f>IF(NOT(ISBLANK(K123)),VLOOKUP(K123,term_lookups[],2),"")</f>
        <v/>
      </c>
      <c r="T123" cm="1">
        <f t="array" ref="T123">IF(ISBLANK(K123),0,_xlfn.XLOOKUP(R123&amp;S123,Daily_Totals[Day]&amp;Daily_Totals[Term],Daily_Totals[Instruction]))</f>
        <v>0</v>
      </c>
      <c r="U123" cm="1">
        <f t="array" ref="U123">IF(ISBLANK(K123),0,_xlfn.XLOOKUP(R123&amp;S123,Daily_Totals[Day]&amp;Daily_Totals[Term],Daily_Totals[Non-Instruction]))</f>
        <v>0</v>
      </c>
      <c r="AC123" t="s">
        <v>35</v>
      </c>
      <c r="AD123">
        <v>9</v>
      </c>
      <c r="AE123">
        <f t="shared" ref="AE123:AE133" si="23">SUMIFS($T$21:$T$226,$J$21:$J$226,"="&amp;AD123)</f>
        <v>0</v>
      </c>
      <c r="AF123">
        <f t="shared" ref="AF123:AF133" si="24">SUMIFS($U$21:$U$226,$J$21:$J$226,"="&amp;AD123)</f>
        <v>0</v>
      </c>
    </row>
    <row r="124" spans="3:32" x14ac:dyDescent="0.3">
      <c r="C124">
        <f t="shared" si="22"/>
        <v>10</v>
      </c>
      <c r="D124" s="37">
        <v>46321</v>
      </c>
      <c r="E124">
        <v>0</v>
      </c>
      <c r="F124">
        <f t="shared" si="18"/>
        <v>0</v>
      </c>
      <c r="K124" s="37"/>
      <c r="L124"/>
      <c r="N124" t="str">
        <f t="shared" si="20"/>
        <v/>
      </c>
      <c r="O124">
        <f t="shared" si="21"/>
        <v>0</v>
      </c>
      <c r="P124">
        <f>IF(IF(ISERROR(MATCH(K124,Rotation_Reset_Dates[Date],0)),0,1)=1,1,IF(ISBLANK(K124),"",IF(OR(rotationDays=1,K124&lt;First_Instructional_Day1),0,IF(AND(rotationDays&gt;1,K124=First_Instructional_Day1),1,IF(P123+IF(OR(N123="Instructional",N123="Not Scheduled"),1,0)&gt;rotationDays,1,P123+IF(OR(N123="Instructional",N123="Not Scheduled"),1,0))))))</f>
        <v>1</v>
      </c>
      <c r="Q124" t="str">
        <f t="shared" si="19"/>
        <v/>
      </c>
      <c r="R124" t="str">
        <f>IF(ISBLANK(K124),"",IF(N124="Operational (no students)",99,IF(N124="Instructional",IF(rotationDays=1,Q124,P124),_xlfn.XLOOKUP(N124,TimeTable_Codes[Description],TimeTable_Codes[TimetableCode]))))</f>
        <v/>
      </c>
      <c r="S124" t="str">
        <f>IF(NOT(ISBLANK(K124)),VLOOKUP(K124,term_lookups[],2),"")</f>
        <v/>
      </c>
      <c r="T124" cm="1">
        <f t="array" ref="T124">IF(ISBLANK(K124),0,_xlfn.XLOOKUP(R124&amp;S124,Daily_Totals[Day]&amp;Daily_Totals[Term],Daily_Totals[Instruction]))</f>
        <v>0</v>
      </c>
      <c r="U124" cm="1">
        <f t="array" ref="U124">IF(ISBLANK(K124),0,_xlfn.XLOOKUP(R124&amp;S124,Daily_Totals[Day]&amp;Daily_Totals[Term],Daily_Totals[Non-Instruction]))</f>
        <v>0</v>
      </c>
      <c r="AC124" t="s">
        <v>36</v>
      </c>
      <c r="AD124">
        <v>10</v>
      </c>
      <c r="AE124">
        <f t="shared" si="23"/>
        <v>0</v>
      </c>
      <c r="AF124">
        <f t="shared" si="24"/>
        <v>0</v>
      </c>
    </row>
    <row r="125" spans="3:32" x14ac:dyDescent="0.3">
      <c r="C125">
        <f t="shared" si="22"/>
        <v>10</v>
      </c>
      <c r="D125" s="37">
        <v>46322</v>
      </c>
      <c r="E125">
        <v>0</v>
      </c>
      <c r="F125">
        <f t="shared" si="18"/>
        <v>0</v>
      </c>
      <c r="K125" s="37"/>
      <c r="L125"/>
      <c r="N125" t="str">
        <f t="shared" si="20"/>
        <v/>
      </c>
      <c r="O125">
        <f t="shared" si="21"/>
        <v>0</v>
      </c>
      <c r="P125">
        <f>IF(IF(ISERROR(MATCH(K125,Rotation_Reset_Dates[Date],0)),0,1)=1,1,IF(ISBLANK(K125),"",IF(OR(rotationDays=1,K125&lt;First_Instructional_Day1),0,IF(AND(rotationDays&gt;1,K125=First_Instructional_Day1),1,IF(P124+IF(OR(N124="Instructional",N124="Not Scheduled"),1,0)&gt;rotationDays,1,P124+IF(OR(N124="Instructional",N124="Not Scheduled"),1,0))))))</f>
        <v>1</v>
      </c>
      <c r="Q125" t="str">
        <f t="shared" si="19"/>
        <v/>
      </c>
      <c r="R125" t="str">
        <f>IF(ISBLANK(K125),"",IF(N125="Operational (no students)",99,IF(N125="Instructional",IF(rotationDays=1,Q125,P125),_xlfn.XLOOKUP(N125,TimeTable_Codes[Description],TimeTable_Codes[TimetableCode]))))</f>
        <v/>
      </c>
      <c r="S125" t="str">
        <f>IF(NOT(ISBLANK(K125)),VLOOKUP(K125,term_lookups[],2),"")</f>
        <v/>
      </c>
      <c r="T125" cm="1">
        <f t="array" ref="T125">IF(ISBLANK(K125),0,_xlfn.XLOOKUP(R125&amp;S125,Daily_Totals[Day]&amp;Daily_Totals[Term],Daily_Totals[Instruction]))</f>
        <v>0</v>
      </c>
      <c r="U125" cm="1">
        <f t="array" ref="U125">IF(ISBLANK(K125),0,_xlfn.XLOOKUP(R125&amp;S125,Daily_Totals[Day]&amp;Daily_Totals[Term],Daily_Totals[Non-Instruction]))</f>
        <v>0</v>
      </c>
      <c r="AC125" t="s">
        <v>37</v>
      </c>
      <c r="AD125">
        <v>11</v>
      </c>
      <c r="AE125">
        <f t="shared" si="23"/>
        <v>0</v>
      </c>
      <c r="AF125">
        <f t="shared" si="24"/>
        <v>0</v>
      </c>
    </row>
    <row r="126" spans="3:32" x14ac:dyDescent="0.3">
      <c r="C126">
        <f t="shared" si="22"/>
        <v>10</v>
      </c>
      <c r="D126" s="37">
        <v>46323</v>
      </c>
      <c r="E126">
        <v>0</v>
      </c>
      <c r="F126">
        <f t="shared" si="18"/>
        <v>0</v>
      </c>
      <c r="K126" s="37"/>
      <c r="L126"/>
      <c r="N126" t="str">
        <f t="shared" si="20"/>
        <v/>
      </c>
      <c r="O126">
        <f t="shared" si="21"/>
        <v>0</v>
      </c>
      <c r="P126">
        <f>IF(IF(ISERROR(MATCH(K126,Rotation_Reset_Dates[Date],0)),0,1)=1,1,IF(ISBLANK(K126),"",IF(OR(rotationDays=1,K126&lt;First_Instructional_Day1),0,IF(AND(rotationDays&gt;1,K126=First_Instructional_Day1),1,IF(P125+IF(OR(N125="Instructional",N125="Not Scheduled"),1,0)&gt;rotationDays,1,P125+IF(OR(N125="Instructional",N125="Not Scheduled"),1,0))))))</f>
        <v>1</v>
      </c>
      <c r="Q126" t="str">
        <f t="shared" si="19"/>
        <v/>
      </c>
      <c r="R126" t="str">
        <f>IF(ISBLANK(K126),"",IF(N126="Operational (no students)",99,IF(N126="Instructional",IF(rotationDays=1,Q126,P126),_xlfn.XLOOKUP(N126,TimeTable_Codes[Description],TimeTable_Codes[TimetableCode]))))</f>
        <v/>
      </c>
      <c r="S126" t="str">
        <f>IF(NOT(ISBLANK(K126)),VLOOKUP(K126,term_lookups[],2),"")</f>
        <v/>
      </c>
      <c r="T126" cm="1">
        <f t="array" ref="T126">IF(ISBLANK(K126),0,_xlfn.XLOOKUP(R126&amp;S126,Daily_Totals[Day]&amp;Daily_Totals[Term],Daily_Totals[Instruction]))</f>
        <v>0</v>
      </c>
      <c r="U126" cm="1">
        <f t="array" ref="U126">IF(ISBLANK(K126),0,_xlfn.XLOOKUP(R126&amp;S126,Daily_Totals[Day]&amp;Daily_Totals[Term],Daily_Totals[Non-Instruction]))</f>
        <v>0</v>
      </c>
      <c r="AC126" t="s">
        <v>38</v>
      </c>
      <c r="AD126">
        <v>12</v>
      </c>
      <c r="AE126">
        <f t="shared" si="23"/>
        <v>0</v>
      </c>
      <c r="AF126">
        <f t="shared" si="24"/>
        <v>0</v>
      </c>
    </row>
    <row r="127" spans="3:32" x14ac:dyDescent="0.3">
      <c r="C127">
        <f t="shared" si="22"/>
        <v>10</v>
      </c>
      <c r="D127" s="37">
        <v>46324</v>
      </c>
      <c r="E127">
        <v>0</v>
      </c>
      <c r="F127">
        <f t="shared" si="18"/>
        <v>0</v>
      </c>
      <c r="K127" s="37"/>
      <c r="L127"/>
      <c r="N127" t="str">
        <f t="shared" si="20"/>
        <v/>
      </c>
      <c r="O127">
        <f t="shared" si="21"/>
        <v>0</v>
      </c>
      <c r="P127">
        <f>IF(IF(ISERROR(MATCH(K127,Rotation_Reset_Dates[Date],0)),0,1)=1,1,IF(ISBLANK(K127),"",IF(OR(rotationDays=1,K127&lt;First_Instructional_Day1),0,IF(AND(rotationDays&gt;1,K127=First_Instructional_Day1),1,IF(P126+IF(OR(N126="Instructional",N126="Not Scheduled"),1,0)&gt;rotationDays,1,P126+IF(OR(N126="Instructional",N126="Not Scheduled"),1,0))))))</f>
        <v>1</v>
      </c>
      <c r="Q127" t="str">
        <f t="shared" si="19"/>
        <v/>
      </c>
      <c r="R127" t="str">
        <f>IF(ISBLANK(K127),"",IF(N127="Operational (no students)",99,IF(N127="Instructional",IF(rotationDays=1,Q127,P127),_xlfn.XLOOKUP(N127,TimeTable_Codes[Description],TimeTable_Codes[TimetableCode]))))</f>
        <v/>
      </c>
      <c r="S127" t="str">
        <f>IF(NOT(ISBLANK(K127)),VLOOKUP(K127,term_lookups[],2),"")</f>
        <v/>
      </c>
      <c r="T127" cm="1">
        <f t="array" ref="T127">IF(ISBLANK(K127),0,_xlfn.XLOOKUP(R127&amp;S127,Daily_Totals[Day]&amp;Daily_Totals[Term],Daily_Totals[Instruction]))</f>
        <v>0</v>
      </c>
      <c r="U127" cm="1">
        <f t="array" ref="U127">IF(ISBLANK(K127),0,_xlfn.XLOOKUP(R127&amp;S127,Daily_Totals[Day]&amp;Daily_Totals[Term],Daily_Totals[Non-Instruction]))</f>
        <v>0</v>
      </c>
      <c r="AC127" t="s">
        <v>39</v>
      </c>
      <c r="AD127">
        <v>1</v>
      </c>
      <c r="AE127">
        <f t="shared" si="23"/>
        <v>0</v>
      </c>
      <c r="AF127">
        <f t="shared" si="24"/>
        <v>0</v>
      </c>
    </row>
    <row r="128" spans="3:32" x14ac:dyDescent="0.3">
      <c r="C128">
        <f t="shared" si="22"/>
        <v>10</v>
      </c>
      <c r="D128" s="37">
        <v>46325</v>
      </c>
      <c r="E128">
        <v>0</v>
      </c>
      <c r="F128">
        <f t="shared" si="18"/>
        <v>0</v>
      </c>
      <c r="K128" s="37"/>
      <c r="L128"/>
      <c r="N128" t="str">
        <f t="shared" si="20"/>
        <v/>
      </c>
      <c r="O128">
        <f t="shared" si="21"/>
        <v>0</v>
      </c>
      <c r="P128">
        <f>IF(IF(ISERROR(MATCH(K128,Rotation_Reset_Dates[Date],0)),0,1)=1,1,IF(ISBLANK(K128),"",IF(OR(rotationDays=1,K128&lt;First_Instructional_Day1),0,IF(AND(rotationDays&gt;1,K128=First_Instructional_Day1),1,IF(P127+IF(OR(N127="Instructional",N127="Not Scheduled"),1,0)&gt;rotationDays,1,P127+IF(OR(N127="Instructional",N127="Not Scheduled"),1,0))))))</f>
        <v>1</v>
      </c>
      <c r="Q128" t="str">
        <f t="shared" si="19"/>
        <v/>
      </c>
      <c r="R128" t="str">
        <f>IF(ISBLANK(K128),"",IF(N128="Operational (no students)",99,IF(N128="Instructional",IF(rotationDays=1,Q128,P128),_xlfn.XLOOKUP(N128,TimeTable_Codes[Description],TimeTable_Codes[TimetableCode]))))</f>
        <v/>
      </c>
      <c r="S128" t="str">
        <f>IF(NOT(ISBLANK(K128)),VLOOKUP(K128,term_lookups[],2),"")</f>
        <v/>
      </c>
      <c r="T128" cm="1">
        <f t="array" ref="T128">IF(ISBLANK(K128),0,_xlfn.XLOOKUP(R128&amp;S128,Daily_Totals[Day]&amp;Daily_Totals[Term],Daily_Totals[Instruction]))</f>
        <v>0</v>
      </c>
      <c r="U128" cm="1">
        <f t="array" ref="U128">IF(ISBLANK(K128),0,_xlfn.XLOOKUP(R128&amp;S128,Daily_Totals[Day]&amp;Daily_Totals[Term],Daily_Totals[Non-Instruction]))</f>
        <v>0</v>
      </c>
      <c r="AC128" t="s">
        <v>40</v>
      </c>
      <c r="AD128">
        <v>2</v>
      </c>
      <c r="AE128">
        <f t="shared" si="23"/>
        <v>0</v>
      </c>
      <c r="AF128">
        <f t="shared" si="24"/>
        <v>0</v>
      </c>
    </row>
    <row r="129" spans="3:32" x14ac:dyDescent="0.3">
      <c r="C129">
        <f t="shared" si="22"/>
        <v>10</v>
      </c>
      <c r="D129" s="37">
        <v>46326</v>
      </c>
      <c r="E129">
        <v>0</v>
      </c>
      <c r="F129">
        <f t="shared" si="18"/>
        <v>0</v>
      </c>
      <c r="K129" s="37"/>
      <c r="L129"/>
      <c r="N129" t="str">
        <f t="shared" si="20"/>
        <v/>
      </c>
      <c r="O129">
        <f t="shared" si="21"/>
        <v>0</v>
      </c>
      <c r="P129">
        <f>IF(IF(ISERROR(MATCH(K129,Rotation_Reset_Dates[Date],0)),0,1)=1,1,IF(ISBLANK(K129),"",IF(OR(rotationDays=1,K129&lt;First_Instructional_Day1),0,IF(AND(rotationDays&gt;1,K129=First_Instructional_Day1),1,IF(P128+IF(OR(N128="Instructional",N128="Not Scheduled"),1,0)&gt;rotationDays,1,P128+IF(OR(N128="Instructional",N128="Not Scheduled"),1,0))))))</f>
        <v>1</v>
      </c>
      <c r="Q129" t="str">
        <f t="shared" si="19"/>
        <v/>
      </c>
      <c r="R129" t="str">
        <f>IF(ISBLANK(K129),"",IF(N129="Operational (no students)",99,IF(N129="Instructional",IF(rotationDays=1,Q129,P129),_xlfn.XLOOKUP(N129,TimeTable_Codes[Description],TimeTable_Codes[TimetableCode]))))</f>
        <v/>
      </c>
      <c r="S129" t="str">
        <f>IF(NOT(ISBLANK(K129)),VLOOKUP(K129,term_lookups[],2),"")</f>
        <v/>
      </c>
      <c r="T129" cm="1">
        <f t="array" ref="T129">IF(ISBLANK(K129),0,_xlfn.XLOOKUP(R129&amp;S129,Daily_Totals[Day]&amp;Daily_Totals[Term],Daily_Totals[Instruction]))</f>
        <v>0</v>
      </c>
      <c r="U129" cm="1">
        <f t="array" ref="U129">IF(ISBLANK(K129),0,_xlfn.XLOOKUP(R129&amp;S129,Daily_Totals[Day]&amp;Daily_Totals[Term],Daily_Totals[Non-Instruction]))</f>
        <v>0</v>
      </c>
      <c r="AC129" t="s">
        <v>41</v>
      </c>
      <c r="AD129">
        <v>3</v>
      </c>
      <c r="AE129">
        <f t="shared" si="23"/>
        <v>0</v>
      </c>
      <c r="AF129">
        <f t="shared" si="24"/>
        <v>0</v>
      </c>
    </row>
    <row r="130" spans="3:32" x14ac:dyDescent="0.3">
      <c r="C130">
        <f t="shared" si="22"/>
        <v>10</v>
      </c>
      <c r="D130" s="37" cm="1">
        <f t="array" ref="D130:D131">TRANSPOSE(Calendar!B55:C55)</f>
        <v>46327</v>
      </c>
      <c r="E130" cm="1">
        <f t="array" ref="E130">TRANSPOSE(Calendar!B56:B56)</f>
        <v>0</v>
      </c>
      <c r="F130">
        <f t="shared" si="18"/>
        <v>0</v>
      </c>
      <c r="K130" s="37"/>
      <c r="L130"/>
      <c r="N130" t="str">
        <f t="shared" si="20"/>
        <v/>
      </c>
      <c r="O130">
        <f t="shared" si="21"/>
        <v>0</v>
      </c>
      <c r="P130">
        <f>IF(IF(ISERROR(MATCH(K130,Rotation_Reset_Dates[Date],0)),0,1)=1,1,IF(ISBLANK(K130),"",IF(OR(rotationDays=1,K130&lt;First_Instructional_Day1),0,IF(AND(rotationDays&gt;1,K130=First_Instructional_Day1),1,IF(P129+IF(OR(N129="Instructional",N129="Not Scheduled"),1,0)&gt;rotationDays,1,P129+IF(OR(N129="Instructional",N129="Not Scheduled"),1,0))))))</f>
        <v>1</v>
      </c>
      <c r="Q130" t="str">
        <f t="shared" si="19"/>
        <v/>
      </c>
      <c r="R130" t="str">
        <f>IF(ISBLANK(K130),"",IF(N130="Operational (no students)",99,IF(N130="Instructional",IF(rotationDays=1,Q130,P130),_xlfn.XLOOKUP(N130,TimeTable_Codes[Description],TimeTable_Codes[TimetableCode]))))</f>
        <v/>
      </c>
      <c r="S130" t="str">
        <f>IF(NOT(ISBLANK(K130)),VLOOKUP(K130,term_lookups[],2),"")</f>
        <v/>
      </c>
      <c r="T130" cm="1">
        <f t="array" ref="T130">IF(ISBLANK(K130),0,_xlfn.XLOOKUP(R130&amp;S130,Daily_Totals[Day]&amp;Daily_Totals[Term],Daily_Totals[Instruction]))</f>
        <v>0</v>
      </c>
      <c r="U130" cm="1">
        <f t="array" ref="U130">IF(ISBLANK(K130),0,_xlfn.XLOOKUP(R130&amp;S130,Daily_Totals[Day]&amp;Daily_Totals[Term],Daily_Totals[Non-Instruction]))</f>
        <v>0</v>
      </c>
      <c r="AC130" t="s">
        <v>42</v>
      </c>
      <c r="AD130">
        <v>4</v>
      </c>
      <c r="AE130">
        <f t="shared" si="23"/>
        <v>0</v>
      </c>
      <c r="AF130">
        <f t="shared" si="24"/>
        <v>0</v>
      </c>
    </row>
    <row r="131" spans="3:32" x14ac:dyDescent="0.3">
      <c r="C131">
        <f t="shared" si="22"/>
        <v>10</v>
      </c>
      <c r="D131" s="37">
        <v>46328</v>
      </c>
      <c r="E131"/>
      <c r="F131">
        <f t="shared" si="18"/>
        <v>0</v>
      </c>
      <c r="K131" s="37"/>
      <c r="L131"/>
      <c r="N131" t="str">
        <f t="shared" si="20"/>
        <v/>
      </c>
      <c r="O131">
        <f t="shared" si="21"/>
        <v>0</v>
      </c>
      <c r="P131">
        <f>IF(IF(ISERROR(MATCH(K131,Rotation_Reset_Dates[Date],0)),0,1)=1,1,IF(ISBLANK(K131),"",IF(OR(rotationDays=1,K131&lt;First_Instructional_Day1),0,IF(AND(rotationDays&gt;1,K131=First_Instructional_Day1),1,IF(P130+IF(OR(N130="Instructional",N130="Not Scheduled"),1,0)&gt;rotationDays,1,P130+IF(OR(N130="Instructional",N130="Not Scheduled"),1,0))))))</f>
        <v>1</v>
      </c>
      <c r="Q131" t="str">
        <f t="shared" si="19"/>
        <v/>
      </c>
      <c r="R131" t="str">
        <f>IF(ISBLANK(K131),"",IF(N131="Operational (no students)",99,IF(N131="Instructional",IF(rotationDays=1,Q131,P131),_xlfn.XLOOKUP(N131,TimeTable_Codes[Description],TimeTable_Codes[TimetableCode]))))</f>
        <v/>
      </c>
      <c r="S131" t="str">
        <f>IF(NOT(ISBLANK(K131)),VLOOKUP(K131,term_lookups[],2),"")</f>
        <v/>
      </c>
      <c r="T131" cm="1">
        <f t="array" ref="T131">IF(ISBLANK(K131),0,_xlfn.XLOOKUP(R131&amp;S131,Daily_Totals[Day]&amp;Daily_Totals[Term],Daily_Totals[Instruction]))</f>
        <v>0</v>
      </c>
      <c r="U131" cm="1">
        <f t="array" ref="U131">IF(ISBLANK(K131),0,_xlfn.XLOOKUP(R131&amp;S131,Daily_Totals[Day]&amp;Daily_Totals[Term],Daily_Totals[Non-Instruction]))</f>
        <v>0</v>
      </c>
      <c r="AC131" t="s">
        <v>43</v>
      </c>
      <c r="AD131">
        <v>5</v>
      </c>
      <c r="AE131">
        <f t="shared" si="23"/>
        <v>0</v>
      </c>
      <c r="AF131">
        <f t="shared" si="24"/>
        <v>0</v>
      </c>
    </row>
    <row r="132" spans="3:32" x14ac:dyDescent="0.3">
      <c r="C132">
        <f t="shared" si="22"/>
        <v>11</v>
      </c>
      <c r="D132" s="37" cm="1">
        <f t="array" ref="D132:D138">TRANSPOSE(Calendar!B61:H61)</f>
        <v>46327</v>
      </c>
      <c r="E132" cm="1">
        <f t="array" ref="E132:E138">TRANSPOSE(Calendar!B62:H62)</f>
        <v>0</v>
      </c>
      <c r="F132">
        <f t="shared" si="18"/>
        <v>0</v>
      </c>
      <c r="K132" s="37"/>
      <c r="L132"/>
      <c r="N132" t="str">
        <f t="shared" si="20"/>
        <v/>
      </c>
      <c r="O132">
        <f t="shared" si="21"/>
        <v>0</v>
      </c>
      <c r="P132">
        <f>IF(IF(ISERROR(MATCH(K132,Rotation_Reset_Dates[Date],0)),0,1)=1,1,IF(ISBLANK(K132),"",IF(OR(rotationDays=1,K132&lt;First_Instructional_Day1),0,IF(AND(rotationDays&gt;1,K132=First_Instructional_Day1),1,IF(P131+IF(OR(N131="Instructional",N131="Not Scheduled"),1,0)&gt;rotationDays,1,P131+IF(OR(N131="Instructional",N131="Not Scheduled"),1,0))))))</f>
        <v>1</v>
      </c>
      <c r="Q132" t="str">
        <f t="shared" si="19"/>
        <v/>
      </c>
      <c r="R132" t="str">
        <f>IF(ISBLANK(K132),"",IF(N132="Operational (no students)",99,IF(N132="Instructional",IF(rotationDays=1,Q132,P132),_xlfn.XLOOKUP(N132,TimeTable_Codes[Description],TimeTable_Codes[TimetableCode]))))</f>
        <v/>
      </c>
      <c r="S132" t="str">
        <f>IF(NOT(ISBLANK(K132)),VLOOKUP(K132,term_lookups[],2),"")</f>
        <v/>
      </c>
      <c r="T132" cm="1">
        <f t="array" ref="T132">IF(ISBLANK(K132),0,_xlfn.XLOOKUP(R132&amp;S132,Daily_Totals[Day]&amp;Daily_Totals[Term],Daily_Totals[Instruction]))</f>
        <v>0</v>
      </c>
      <c r="U132" cm="1">
        <f t="array" ref="U132">IF(ISBLANK(K132),0,_xlfn.XLOOKUP(R132&amp;S132,Daily_Totals[Day]&amp;Daily_Totals[Term],Daily_Totals[Non-Instruction]))</f>
        <v>0</v>
      </c>
      <c r="AC132" t="s">
        <v>44</v>
      </c>
      <c r="AD132">
        <v>6</v>
      </c>
      <c r="AE132">
        <f t="shared" si="23"/>
        <v>0</v>
      </c>
      <c r="AF132">
        <f t="shared" si="24"/>
        <v>0</v>
      </c>
    </row>
    <row r="133" spans="3:32" x14ac:dyDescent="0.3">
      <c r="C133">
        <f t="shared" si="22"/>
        <v>11</v>
      </c>
      <c r="D133" s="37">
        <v>46328</v>
      </c>
      <c r="E133">
        <v>0</v>
      </c>
      <c r="F133">
        <f t="shared" si="18"/>
        <v>0</v>
      </c>
      <c r="K133" s="37"/>
      <c r="L133"/>
      <c r="N133" t="str">
        <f t="shared" si="20"/>
        <v/>
      </c>
      <c r="O133">
        <f t="shared" si="21"/>
        <v>0</v>
      </c>
      <c r="P133">
        <f>IF(IF(ISERROR(MATCH(K133,Rotation_Reset_Dates[Date],0)),0,1)=1,1,IF(ISBLANK(K133),"",IF(OR(rotationDays=1,K133&lt;First_Instructional_Day1),0,IF(AND(rotationDays&gt;1,K133=First_Instructional_Day1),1,IF(P132+IF(OR(N132="Instructional",N132="Not Scheduled"),1,0)&gt;rotationDays,1,P132+IF(OR(N132="Instructional",N132="Not Scheduled"),1,0))))))</f>
        <v>1</v>
      </c>
      <c r="Q133" t="str">
        <f t="shared" si="19"/>
        <v/>
      </c>
      <c r="R133" t="str">
        <f>IF(ISBLANK(K133),"",IF(N133="Operational (no students)",99,IF(N133="Instructional",IF(rotationDays=1,Q133,P133),_xlfn.XLOOKUP(N133,TimeTable_Codes[Description],TimeTable_Codes[TimetableCode]))))</f>
        <v/>
      </c>
      <c r="S133" t="str">
        <f>IF(NOT(ISBLANK(K133)),VLOOKUP(K133,term_lookups[],2),"")</f>
        <v/>
      </c>
      <c r="T133" cm="1">
        <f t="array" ref="T133">IF(ISBLANK(K133),0,_xlfn.XLOOKUP(R133&amp;S133,Daily_Totals[Day]&amp;Daily_Totals[Term],Daily_Totals[Instruction]))</f>
        <v>0</v>
      </c>
      <c r="U133" cm="1">
        <f t="array" ref="U133">IF(ISBLANK(K133),0,_xlfn.XLOOKUP(R133&amp;S133,Daily_Totals[Day]&amp;Daily_Totals[Term],Daily_Totals[Non-Instruction]))</f>
        <v>0</v>
      </c>
      <c r="AC133" t="s">
        <v>45</v>
      </c>
      <c r="AD133">
        <v>7</v>
      </c>
      <c r="AE133">
        <f t="shared" si="23"/>
        <v>0</v>
      </c>
      <c r="AF133">
        <f t="shared" si="24"/>
        <v>0</v>
      </c>
    </row>
    <row r="134" spans="3:32" x14ac:dyDescent="0.3">
      <c r="C134">
        <f t="shared" si="22"/>
        <v>11</v>
      </c>
      <c r="D134" s="37">
        <v>46329</v>
      </c>
      <c r="E134">
        <v>0</v>
      </c>
      <c r="F134">
        <f t="shared" si="18"/>
        <v>0</v>
      </c>
      <c r="K134" s="37"/>
      <c r="L134"/>
      <c r="N134" t="str">
        <f t="shared" si="20"/>
        <v/>
      </c>
      <c r="O134">
        <f t="shared" si="21"/>
        <v>0</v>
      </c>
      <c r="P134">
        <f>IF(IF(ISERROR(MATCH(K134,Rotation_Reset_Dates[Date],0)),0,1)=1,1,IF(ISBLANK(K134),"",IF(OR(rotationDays=1,K134&lt;First_Instructional_Day1),0,IF(AND(rotationDays&gt;1,K134=First_Instructional_Day1),1,IF(P133+IF(OR(N133="Instructional",N133="Not Scheduled"),1,0)&gt;rotationDays,1,P133+IF(OR(N133="Instructional",N133="Not Scheduled"),1,0))))))</f>
        <v>1</v>
      </c>
      <c r="Q134" t="str">
        <f t="shared" si="19"/>
        <v/>
      </c>
      <c r="R134" t="str">
        <f>IF(ISBLANK(K134),"",IF(N134="Operational (no students)",99,IF(N134="Instructional",IF(rotationDays=1,Q134,P134),_xlfn.XLOOKUP(N134,TimeTable_Codes[Description],TimeTable_Codes[TimetableCode]))))</f>
        <v/>
      </c>
      <c r="S134" t="str">
        <f>IF(NOT(ISBLANK(K134)),VLOOKUP(K134,term_lookups[],2),"")</f>
        <v/>
      </c>
      <c r="T134" cm="1">
        <f t="array" ref="T134">IF(ISBLANK(K134),0,_xlfn.XLOOKUP(R134&amp;S134,Daily_Totals[Day]&amp;Daily_Totals[Term],Daily_Totals[Instruction]))</f>
        <v>0</v>
      </c>
      <c r="U134" cm="1">
        <f t="array" ref="U134">IF(ISBLANK(K134),0,_xlfn.XLOOKUP(R134&amp;S134,Daily_Totals[Day]&amp;Daily_Totals[Term],Daily_Totals[Non-Instruction]))</f>
        <v>0</v>
      </c>
    </row>
    <row r="135" spans="3:32" x14ac:dyDescent="0.3">
      <c r="C135">
        <f t="shared" si="22"/>
        <v>11</v>
      </c>
      <c r="D135" s="37">
        <v>46330</v>
      </c>
      <c r="E135">
        <v>0</v>
      </c>
      <c r="F135">
        <f t="shared" si="18"/>
        <v>0</v>
      </c>
      <c r="K135" s="37"/>
      <c r="L135"/>
      <c r="N135" t="str">
        <f t="shared" si="20"/>
        <v/>
      </c>
      <c r="O135">
        <f t="shared" si="21"/>
        <v>0</v>
      </c>
      <c r="P135">
        <f>IF(IF(ISERROR(MATCH(K135,Rotation_Reset_Dates[Date],0)),0,1)=1,1,IF(ISBLANK(K135),"",IF(OR(rotationDays=1,K135&lt;First_Instructional_Day1),0,IF(AND(rotationDays&gt;1,K135=First_Instructional_Day1),1,IF(P134+IF(OR(N134="Instructional",N134="Not Scheduled"),1,0)&gt;rotationDays,1,P134+IF(OR(N134="Instructional",N134="Not Scheduled"),1,0))))))</f>
        <v>1</v>
      </c>
      <c r="Q135" t="str">
        <f t="shared" si="19"/>
        <v/>
      </c>
      <c r="R135" t="str">
        <f>IF(ISBLANK(K135),"",IF(N135="Operational (no students)",99,IF(N135="Instructional",IF(rotationDays=1,Q135,P135),_xlfn.XLOOKUP(N135,TimeTable_Codes[Description],TimeTable_Codes[TimetableCode]))))</f>
        <v/>
      </c>
      <c r="S135" t="str">
        <f>IF(NOT(ISBLANK(K135)),VLOOKUP(K135,term_lookups[],2),"")</f>
        <v/>
      </c>
      <c r="T135" cm="1">
        <f t="array" ref="T135">IF(ISBLANK(K135),0,_xlfn.XLOOKUP(R135&amp;S135,Daily_Totals[Day]&amp;Daily_Totals[Term],Daily_Totals[Instruction]))</f>
        <v>0</v>
      </c>
      <c r="U135" cm="1">
        <f t="array" ref="U135">IF(ISBLANK(K135),0,_xlfn.XLOOKUP(R135&amp;S135,Daily_Totals[Day]&amp;Daily_Totals[Term],Daily_Totals[Non-Instruction]))</f>
        <v>0</v>
      </c>
    </row>
    <row r="136" spans="3:32" x14ac:dyDescent="0.3">
      <c r="C136">
        <f t="shared" si="22"/>
        <v>11</v>
      </c>
      <c r="D136" s="37">
        <v>46331</v>
      </c>
      <c r="E136">
        <v>0</v>
      </c>
      <c r="F136">
        <f t="shared" si="18"/>
        <v>0</v>
      </c>
      <c r="K136" s="37"/>
      <c r="L136"/>
      <c r="N136" t="str">
        <f t="shared" si="20"/>
        <v/>
      </c>
      <c r="O136">
        <f t="shared" si="21"/>
        <v>0</v>
      </c>
      <c r="P136">
        <f>IF(IF(ISERROR(MATCH(K136,Rotation_Reset_Dates[Date],0)),0,1)=1,1,IF(ISBLANK(K136),"",IF(OR(rotationDays=1,K136&lt;First_Instructional_Day1),0,IF(AND(rotationDays&gt;1,K136=First_Instructional_Day1),1,IF(P135+IF(OR(N135="Instructional",N135="Not Scheduled"),1,0)&gt;rotationDays,1,P135+IF(OR(N135="Instructional",N135="Not Scheduled"),1,0))))))</f>
        <v>1</v>
      </c>
      <c r="Q136" t="str">
        <f t="shared" si="19"/>
        <v/>
      </c>
      <c r="R136" t="str">
        <f>IF(ISBLANK(K136),"",IF(N136="Operational (no students)",99,IF(N136="Instructional",IF(rotationDays=1,Q136,P136),_xlfn.XLOOKUP(N136,TimeTable_Codes[Description],TimeTable_Codes[TimetableCode]))))</f>
        <v/>
      </c>
      <c r="S136" t="str">
        <f>IF(NOT(ISBLANK(K136)),VLOOKUP(K136,term_lookups[],2),"")</f>
        <v/>
      </c>
      <c r="T136" cm="1">
        <f t="array" ref="T136">IF(ISBLANK(K136),0,_xlfn.XLOOKUP(R136&amp;S136,Daily_Totals[Day]&amp;Daily_Totals[Term],Daily_Totals[Instruction]))</f>
        <v>0</v>
      </c>
      <c r="U136" cm="1">
        <f t="array" ref="U136">IF(ISBLANK(K136),0,_xlfn.XLOOKUP(R136&amp;S136,Daily_Totals[Day]&amp;Daily_Totals[Term],Daily_Totals[Non-Instruction]))</f>
        <v>0</v>
      </c>
      <c r="AC136" t="s">
        <v>4049</v>
      </c>
    </row>
    <row r="137" spans="3:32" x14ac:dyDescent="0.3">
      <c r="C137">
        <f t="shared" si="22"/>
        <v>11</v>
      </c>
      <c r="D137" s="37">
        <v>46332</v>
      </c>
      <c r="E137">
        <v>0</v>
      </c>
      <c r="F137">
        <f t="shared" si="18"/>
        <v>0</v>
      </c>
      <c r="K137" s="37"/>
      <c r="L137"/>
      <c r="N137" t="str">
        <f t="shared" si="20"/>
        <v/>
      </c>
      <c r="O137">
        <f t="shared" si="21"/>
        <v>0</v>
      </c>
      <c r="P137">
        <f>IF(IF(ISERROR(MATCH(K137,Rotation_Reset_Dates[Date],0)),0,1)=1,1,IF(ISBLANK(K137),"",IF(OR(rotationDays=1,K137&lt;First_Instructional_Day1),0,IF(AND(rotationDays&gt;1,K137=First_Instructional_Day1),1,IF(P136+IF(OR(N136="Instructional",N136="Not Scheduled"),1,0)&gt;rotationDays,1,P136+IF(OR(N136="Instructional",N136="Not Scheduled"),1,0))))))</f>
        <v>1</v>
      </c>
      <c r="Q137" t="str">
        <f t="shared" si="19"/>
        <v/>
      </c>
      <c r="R137" t="str">
        <f>IF(ISBLANK(K137),"",IF(N137="Operational (no students)",99,IF(N137="Instructional",IF(rotationDays=1,Q137,P137),_xlfn.XLOOKUP(N137,TimeTable_Codes[Description],TimeTable_Codes[TimetableCode]))))</f>
        <v/>
      </c>
      <c r="S137" t="str">
        <f>IF(NOT(ISBLANK(K137)),VLOOKUP(K137,term_lookups[],2),"")</f>
        <v/>
      </c>
      <c r="T137" cm="1">
        <f t="array" ref="T137">IF(ISBLANK(K137),0,_xlfn.XLOOKUP(R137&amp;S137,Daily_Totals[Day]&amp;Daily_Totals[Term],Daily_Totals[Instruction]))</f>
        <v>0</v>
      </c>
      <c r="U137" cm="1">
        <f t="array" ref="U137">IF(ISBLANK(K137),0,_xlfn.XLOOKUP(R137&amp;S137,Daily_Totals[Day]&amp;Daily_Totals[Term],Daily_Totals[Non-Instruction]))</f>
        <v>0</v>
      </c>
      <c r="AC137" t="s">
        <v>28</v>
      </c>
      <c r="AD137" t="s">
        <v>30</v>
      </c>
      <c r="AE137" t="s">
        <v>21</v>
      </c>
      <c r="AF137" t="s">
        <v>53</v>
      </c>
    </row>
    <row r="138" spans="3:32" x14ac:dyDescent="0.3">
      <c r="C138">
        <f t="shared" si="22"/>
        <v>11</v>
      </c>
      <c r="D138" s="37">
        <v>46333</v>
      </c>
      <c r="E138">
        <v>0</v>
      </c>
      <c r="F138">
        <f t="shared" si="18"/>
        <v>0</v>
      </c>
      <c r="K138" s="37"/>
      <c r="L138"/>
      <c r="N138" t="str">
        <f t="shared" si="20"/>
        <v/>
      </c>
      <c r="O138">
        <f t="shared" si="21"/>
        <v>0</v>
      </c>
      <c r="P138">
        <f>IF(IF(ISERROR(MATCH(K138,Rotation_Reset_Dates[Date],0)),0,1)=1,1,IF(ISBLANK(K138),"",IF(OR(rotationDays=1,K138&lt;First_Instructional_Day1),0,IF(AND(rotationDays&gt;1,K138=First_Instructional_Day1),1,IF(P137+IF(OR(N137="Instructional",N137="Not Scheduled"),1,0)&gt;rotationDays,1,P137+IF(OR(N137="Instructional",N137="Not Scheduled"),1,0))))))</f>
        <v>1</v>
      </c>
      <c r="Q138" t="str">
        <f t="shared" si="19"/>
        <v/>
      </c>
      <c r="R138" t="str">
        <f>IF(ISBLANK(K138),"",IF(N138="Operational (no students)",99,IF(N138="Instructional",IF(rotationDays=1,Q138,P138),_xlfn.XLOOKUP(N138,TimeTable_Codes[Description],TimeTable_Codes[TimetableCode]))))</f>
        <v/>
      </c>
      <c r="S138" t="str">
        <f>IF(NOT(ISBLANK(K138)),VLOOKUP(K138,term_lookups[],2),"")</f>
        <v/>
      </c>
      <c r="T138" cm="1">
        <f t="array" ref="T138">IF(ISBLANK(K138),0,_xlfn.XLOOKUP(R138&amp;S138,Daily_Totals[Day]&amp;Daily_Totals[Term],Daily_Totals[Instruction]))</f>
        <v>0</v>
      </c>
      <c r="U138" cm="1">
        <f t="array" ref="U138">IF(ISBLANK(K138),0,_xlfn.XLOOKUP(R138&amp;S138,Daily_Totals[Day]&amp;Daily_Totals[Term],Daily_Totals[Non-Instruction]))</f>
        <v>0</v>
      </c>
      <c r="AC138" t="s">
        <v>5</v>
      </c>
      <c r="AD138">
        <f>SUMIFS(Exceptions[Instructional],Exceptions[Month],"="&amp;AC138)</f>
        <v>0</v>
      </c>
      <c r="AE138" s="42">
        <f>(SUMIFS(Exceptions[Assigned Time (Non-Instructional)],Exceptions[Month],"="&amp;AC138))</f>
        <v>0</v>
      </c>
      <c r="AF138">
        <f>+Exception_Totals[[#This Row],[Non-Instructional]]+Exception_Totals[[#This Row],[Instructional]]</f>
        <v>0</v>
      </c>
    </row>
    <row r="139" spans="3:32" x14ac:dyDescent="0.3">
      <c r="C139">
        <f t="shared" si="22"/>
        <v>11</v>
      </c>
      <c r="D139" s="37" cm="1">
        <f t="array" ref="D139:D145">TRANSPOSE(Calendar!B63:H63)</f>
        <v>46334</v>
      </c>
      <c r="E139" cm="1">
        <f t="array" ref="E139:E145">TRANSPOSE(Calendar!B64:H64)</f>
        <v>0</v>
      </c>
      <c r="F139">
        <f t="shared" si="18"/>
        <v>0</v>
      </c>
      <c r="K139" s="37"/>
      <c r="L139"/>
      <c r="N139" t="str">
        <f t="shared" si="20"/>
        <v/>
      </c>
      <c r="O139">
        <f t="shared" si="21"/>
        <v>0</v>
      </c>
      <c r="P139">
        <f>IF(IF(ISERROR(MATCH(K139,Rotation_Reset_Dates[Date],0)),0,1)=1,1,IF(ISBLANK(K139),"",IF(OR(rotationDays=1,K139&lt;First_Instructional_Day1),0,IF(AND(rotationDays&gt;1,K139=First_Instructional_Day1),1,IF(P138+IF(OR(N138="Instructional",N138="Not Scheduled"),1,0)&gt;rotationDays,1,P138+IF(OR(N138="Instructional",N138="Not Scheduled"),1,0))))))</f>
        <v>1</v>
      </c>
      <c r="Q139" t="str">
        <f t="shared" si="19"/>
        <v/>
      </c>
      <c r="R139" t="str">
        <f>IF(ISBLANK(K139),"",IF(N139="Operational (no students)",99,IF(N139="Instructional",IF(rotationDays=1,Q139,P139),_xlfn.XLOOKUP(N139,TimeTable_Codes[Description],TimeTable_Codes[TimetableCode]))))</f>
        <v/>
      </c>
      <c r="S139" t="str">
        <f>IF(NOT(ISBLANK(K139)),VLOOKUP(K139,term_lookups[],2),"")</f>
        <v/>
      </c>
      <c r="T139" cm="1">
        <f t="array" ref="T139">IF(ISBLANK(K139),0,_xlfn.XLOOKUP(R139&amp;S139,Daily_Totals[Day]&amp;Daily_Totals[Term],Daily_Totals[Instruction]))</f>
        <v>0</v>
      </c>
      <c r="U139" cm="1">
        <f t="array" ref="U139">IF(ISBLANK(K139),0,_xlfn.XLOOKUP(R139&amp;S139,Daily_Totals[Day]&amp;Daily_Totals[Term],Daily_Totals[Non-Instruction]))</f>
        <v>0</v>
      </c>
      <c r="AC139" t="s">
        <v>35</v>
      </c>
      <c r="AD139">
        <f>SUMIFS(Exceptions[Instructional],Exceptions[Month],"="&amp;AC139)</f>
        <v>0</v>
      </c>
      <c r="AE139" s="42">
        <f>(SUMIFS(Exceptions[Assigned Time (Non-Instructional)],Exceptions[Month],"="&amp;AC139))</f>
        <v>0</v>
      </c>
      <c r="AF139" s="42">
        <f>+Exception_Totals[[#This Row],[Non-Instructional]]+Exception_Totals[[#This Row],[Instructional]]</f>
        <v>0</v>
      </c>
    </row>
    <row r="140" spans="3:32" x14ac:dyDescent="0.3">
      <c r="C140">
        <f t="shared" si="22"/>
        <v>11</v>
      </c>
      <c r="D140" s="37">
        <v>46335</v>
      </c>
      <c r="E140">
        <v>0</v>
      </c>
      <c r="F140">
        <f t="shared" si="18"/>
        <v>0</v>
      </c>
      <c r="K140" s="37"/>
      <c r="L140"/>
      <c r="N140" t="str">
        <f t="shared" si="20"/>
        <v/>
      </c>
      <c r="O140">
        <f t="shared" si="21"/>
        <v>0</v>
      </c>
      <c r="P140">
        <f>IF(IF(ISERROR(MATCH(K140,Rotation_Reset_Dates[Date],0)),0,1)=1,1,IF(ISBLANK(K140),"",IF(OR(rotationDays=1,K140&lt;First_Instructional_Day1),0,IF(AND(rotationDays&gt;1,K140=First_Instructional_Day1),1,IF(P139+IF(OR(N139="Instructional",N139="Not Scheduled"),1,0)&gt;rotationDays,1,P139+IF(OR(N139="Instructional",N139="Not Scheduled"),1,0))))))</f>
        <v>1</v>
      </c>
      <c r="Q140" t="str">
        <f t="shared" si="19"/>
        <v/>
      </c>
      <c r="R140" t="str">
        <f>IF(ISBLANK(K140),"",IF(N140="Operational (no students)",99,IF(N140="Instructional",IF(rotationDays=1,Q140,P140),_xlfn.XLOOKUP(N140,TimeTable_Codes[Description],TimeTable_Codes[TimetableCode]))))</f>
        <v/>
      </c>
      <c r="S140" t="str">
        <f>IF(NOT(ISBLANK(K140)),VLOOKUP(K140,term_lookups[],2),"")</f>
        <v/>
      </c>
      <c r="T140" cm="1">
        <f t="array" ref="T140">IF(ISBLANK(K140),0,_xlfn.XLOOKUP(R140&amp;S140,Daily_Totals[Day]&amp;Daily_Totals[Term],Daily_Totals[Instruction]))</f>
        <v>0</v>
      </c>
      <c r="U140" cm="1">
        <f t="array" ref="U140">IF(ISBLANK(K140),0,_xlfn.XLOOKUP(R140&amp;S140,Daily_Totals[Day]&amp;Daily_Totals[Term],Daily_Totals[Non-Instruction]))</f>
        <v>0</v>
      </c>
      <c r="AC140" t="s">
        <v>36</v>
      </c>
      <c r="AD140">
        <f>SUMIFS(Exceptions[Instructional],Exceptions[Month],"="&amp;AC140)</f>
        <v>0</v>
      </c>
      <c r="AE140" s="42">
        <f>(SUMIFS(Exceptions[Assigned Time (Non-Instructional)],Exceptions[Month],"="&amp;AC140))</f>
        <v>0</v>
      </c>
      <c r="AF140" s="42">
        <f>+Exception_Totals[[#This Row],[Non-Instructional]]+Exception_Totals[[#This Row],[Instructional]]</f>
        <v>0</v>
      </c>
    </row>
    <row r="141" spans="3:32" x14ac:dyDescent="0.3">
      <c r="C141">
        <f t="shared" si="22"/>
        <v>11</v>
      </c>
      <c r="D141" s="37">
        <v>46336</v>
      </c>
      <c r="E141">
        <v>0</v>
      </c>
      <c r="F141">
        <f t="shared" si="18"/>
        <v>0</v>
      </c>
      <c r="K141" s="37"/>
      <c r="L141"/>
      <c r="N141" t="str">
        <f t="shared" si="20"/>
        <v/>
      </c>
      <c r="O141">
        <f t="shared" si="21"/>
        <v>0</v>
      </c>
      <c r="P141">
        <f>IF(IF(ISERROR(MATCH(K141,Rotation_Reset_Dates[Date],0)),0,1)=1,1,IF(ISBLANK(K141),"",IF(OR(rotationDays=1,K141&lt;First_Instructional_Day1),0,IF(AND(rotationDays&gt;1,K141=First_Instructional_Day1),1,IF(P140+IF(OR(N140="Instructional",N140="Not Scheduled"),1,0)&gt;rotationDays,1,P140+IF(OR(N140="Instructional",N140="Not Scheduled"),1,0))))))</f>
        <v>1</v>
      </c>
      <c r="Q141" t="str">
        <f t="shared" si="19"/>
        <v/>
      </c>
      <c r="R141" t="str">
        <f>IF(ISBLANK(K141),"",IF(N141="Operational (no students)",99,IF(N141="Instructional",IF(rotationDays=1,Q141,P141),_xlfn.XLOOKUP(N141,TimeTable_Codes[Description],TimeTable_Codes[TimetableCode]))))</f>
        <v/>
      </c>
      <c r="S141" t="str">
        <f>IF(NOT(ISBLANK(K141)),VLOOKUP(K141,term_lookups[],2),"")</f>
        <v/>
      </c>
      <c r="T141" cm="1">
        <f t="array" ref="T141">IF(ISBLANK(K141),0,_xlfn.XLOOKUP(R141&amp;S141,Daily_Totals[Day]&amp;Daily_Totals[Term],Daily_Totals[Instruction]))</f>
        <v>0</v>
      </c>
      <c r="U141" cm="1">
        <f t="array" ref="U141">IF(ISBLANK(K141),0,_xlfn.XLOOKUP(R141&amp;S141,Daily_Totals[Day]&amp;Daily_Totals[Term],Daily_Totals[Non-Instruction]))</f>
        <v>0</v>
      </c>
      <c r="AC141" t="s">
        <v>37</v>
      </c>
      <c r="AD141">
        <f>SUMIFS(Exceptions[Instructional],Exceptions[Month],"="&amp;AC141)</f>
        <v>0</v>
      </c>
      <c r="AE141" s="42">
        <f>(SUMIFS(Exceptions[Assigned Time (Non-Instructional)],Exceptions[Month],"="&amp;AC141))</f>
        <v>0</v>
      </c>
      <c r="AF141" s="42">
        <f>+Exception_Totals[[#This Row],[Non-Instructional]]+Exception_Totals[[#This Row],[Instructional]]</f>
        <v>0</v>
      </c>
    </row>
    <row r="142" spans="3:32" x14ac:dyDescent="0.3">
      <c r="C142">
        <f t="shared" si="22"/>
        <v>11</v>
      </c>
      <c r="D142" s="37">
        <v>46337</v>
      </c>
      <c r="E142" t="str">
        <v>Closed (non-operational)</v>
      </c>
      <c r="F142">
        <f t="shared" si="18"/>
        <v>0</v>
      </c>
      <c r="K142" s="37"/>
      <c r="L142"/>
      <c r="N142" t="str">
        <f t="shared" si="20"/>
        <v/>
      </c>
      <c r="O142">
        <f t="shared" si="21"/>
        <v>0</v>
      </c>
      <c r="P142">
        <f>IF(IF(ISERROR(MATCH(K142,Rotation_Reset_Dates[Date],0)),0,1)=1,1,IF(ISBLANK(K142),"",IF(OR(rotationDays=1,K142&lt;First_Instructional_Day1),0,IF(AND(rotationDays&gt;1,K142=First_Instructional_Day1),1,IF(P141+IF(OR(N141="Instructional",N141="Not Scheduled"),1,0)&gt;rotationDays,1,P141+IF(OR(N141="Instructional",N141="Not Scheduled"),1,0))))))</f>
        <v>1</v>
      </c>
      <c r="Q142" t="str">
        <f t="shared" si="19"/>
        <v/>
      </c>
      <c r="R142" t="str">
        <f>IF(ISBLANK(K142),"",IF(N142="Operational (no students)",99,IF(N142="Instructional",IF(rotationDays=1,Q142,P142),_xlfn.XLOOKUP(N142,TimeTable_Codes[Description],TimeTable_Codes[TimetableCode]))))</f>
        <v/>
      </c>
      <c r="S142" t="str">
        <f>IF(NOT(ISBLANK(K142)),VLOOKUP(K142,term_lookups[],2),"")</f>
        <v/>
      </c>
      <c r="T142" cm="1">
        <f t="array" ref="T142">IF(ISBLANK(K142),0,_xlfn.XLOOKUP(R142&amp;S142,Daily_Totals[Day]&amp;Daily_Totals[Term],Daily_Totals[Instruction]))</f>
        <v>0</v>
      </c>
      <c r="U142" cm="1">
        <f t="array" ref="U142">IF(ISBLANK(K142),0,_xlfn.XLOOKUP(R142&amp;S142,Daily_Totals[Day]&amp;Daily_Totals[Term],Daily_Totals[Non-Instruction]))</f>
        <v>0</v>
      </c>
      <c r="AC142" t="s">
        <v>38</v>
      </c>
      <c r="AD142">
        <f>SUMIFS(Exceptions[Instructional],Exceptions[Month],"="&amp;AC142)</f>
        <v>0</v>
      </c>
      <c r="AE142" s="42">
        <f>(SUMIFS(Exceptions[Assigned Time (Non-Instructional)],Exceptions[Month],"="&amp;AC142))</f>
        <v>0</v>
      </c>
      <c r="AF142" s="42">
        <f>+Exception_Totals[[#This Row],[Non-Instructional]]+Exception_Totals[[#This Row],[Instructional]]</f>
        <v>0</v>
      </c>
    </row>
    <row r="143" spans="3:32" x14ac:dyDescent="0.3">
      <c r="C143">
        <f t="shared" si="22"/>
        <v>11</v>
      </c>
      <c r="D143" s="37">
        <v>46338</v>
      </c>
      <c r="E143">
        <v>0</v>
      </c>
      <c r="F143">
        <f t="shared" si="18"/>
        <v>0</v>
      </c>
      <c r="K143" s="37"/>
      <c r="L143"/>
      <c r="N143" t="str">
        <f t="shared" si="20"/>
        <v/>
      </c>
      <c r="O143">
        <f t="shared" si="21"/>
        <v>0</v>
      </c>
      <c r="P143">
        <f>IF(IF(ISERROR(MATCH(K143,Rotation_Reset_Dates[Date],0)),0,1)=1,1,IF(ISBLANK(K143),"",IF(OR(rotationDays=1,K143&lt;First_Instructional_Day1),0,IF(AND(rotationDays&gt;1,K143=First_Instructional_Day1),1,IF(P142+IF(OR(N142="Instructional",N142="Not Scheduled"),1,0)&gt;rotationDays,1,P142+IF(OR(N142="Instructional",N142="Not Scheduled"),1,0))))))</f>
        <v>1</v>
      </c>
      <c r="Q143" t="str">
        <f t="shared" si="19"/>
        <v/>
      </c>
      <c r="R143" t="str">
        <f>IF(ISBLANK(K143),"",IF(N143="Operational (no students)",99,IF(N143="Instructional",IF(rotationDays=1,Q143,P143),_xlfn.XLOOKUP(N143,TimeTable_Codes[Description],TimeTable_Codes[TimetableCode]))))</f>
        <v/>
      </c>
      <c r="S143" t="str">
        <f>IF(NOT(ISBLANK(K143)),VLOOKUP(K143,term_lookups[],2),"")</f>
        <v/>
      </c>
      <c r="T143" cm="1">
        <f t="array" ref="T143">IF(ISBLANK(K143),0,_xlfn.XLOOKUP(R143&amp;S143,Daily_Totals[Day]&amp;Daily_Totals[Term],Daily_Totals[Instruction]))</f>
        <v>0</v>
      </c>
      <c r="U143" cm="1">
        <f t="array" ref="U143">IF(ISBLANK(K143),0,_xlfn.XLOOKUP(R143&amp;S143,Daily_Totals[Day]&amp;Daily_Totals[Term],Daily_Totals[Non-Instruction]))</f>
        <v>0</v>
      </c>
      <c r="AC143" t="s">
        <v>39</v>
      </c>
      <c r="AD143">
        <f>SUMIFS(Exceptions[Instructional],Exceptions[Month],"="&amp;AC143)</f>
        <v>0</v>
      </c>
      <c r="AE143" s="42">
        <f>(SUMIFS(Exceptions[Assigned Time (Non-Instructional)],Exceptions[Month],"="&amp;AC143))</f>
        <v>0</v>
      </c>
      <c r="AF143" s="42">
        <f>+Exception_Totals[[#This Row],[Non-Instructional]]+Exception_Totals[[#This Row],[Instructional]]</f>
        <v>0</v>
      </c>
    </row>
    <row r="144" spans="3:32" x14ac:dyDescent="0.3">
      <c r="C144">
        <f t="shared" si="22"/>
        <v>11</v>
      </c>
      <c r="D144" s="37">
        <v>46339</v>
      </c>
      <c r="E144">
        <v>0</v>
      </c>
      <c r="F144">
        <f t="shared" si="18"/>
        <v>0</v>
      </c>
      <c r="K144" s="37"/>
      <c r="L144"/>
      <c r="N144" t="str">
        <f t="shared" si="20"/>
        <v/>
      </c>
      <c r="O144">
        <f t="shared" si="21"/>
        <v>0</v>
      </c>
      <c r="P144">
        <f>IF(IF(ISERROR(MATCH(K144,Rotation_Reset_Dates[Date],0)),0,1)=1,1,IF(ISBLANK(K144),"",IF(OR(rotationDays=1,K144&lt;First_Instructional_Day1),0,IF(AND(rotationDays&gt;1,K144=First_Instructional_Day1),1,IF(P143+IF(OR(N143="Instructional",N143="Not Scheduled"),1,0)&gt;rotationDays,1,P143+IF(OR(N143="Instructional",N143="Not Scheduled"),1,0))))))</f>
        <v>1</v>
      </c>
      <c r="Q144" t="str">
        <f t="shared" si="19"/>
        <v/>
      </c>
      <c r="R144" t="str">
        <f>IF(ISBLANK(K144),"",IF(N144="Operational (no students)",99,IF(N144="Instructional",IF(rotationDays=1,Q144,P144),_xlfn.XLOOKUP(N144,TimeTable_Codes[Description],TimeTable_Codes[TimetableCode]))))</f>
        <v/>
      </c>
      <c r="S144" t="str">
        <f>IF(NOT(ISBLANK(K144)),VLOOKUP(K144,term_lookups[],2),"")</f>
        <v/>
      </c>
      <c r="T144" cm="1">
        <f t="array" ref="T144">IF(ISBLANK(K144),0,_xlfn.XLOOKUP(R144&amp;S144,Daily_Totals[Day]&amp;Daily_Totals[Term],Daily_Totals[Instruction]))</f>
        <v>0</v>
      </c>
      <c r="U144" cm="1">
        <f t="array" ref="U144">IF(ISBLANK(K144),0,_xlfn.XLOOKUP(R144&amp;S144,Daily_Totals[Day]&amp;Daily_Totals[Term],Daily_Totals[Non-Instruction]))</f>
        <v>0</v>
      </c>
      <c r="AC144" t="s">
        <v>40</v>
      </c>
      <c r="AD144">
        <f>SUMIFS(Exceptions[Instructional],Exceptions[Month],"="&amp;AC144)</f>
        <v>0</v>
      </c>
      <c r="AE144" s="42">
        <f>(SUMIFS(Exceptions[Assigned Time (Non-Instructional)],Exceptions[Month],"="&amp;AC144))</f>
        <v>0</v>
      </c>
      <c r="AF144" s="42">
        <f>+Exception_Totals[[#This Row],[Non-Instructional]]+Exception_Totals[[#This Row],[Instructional]]</f>
        <v>0</v>
      </c>
    </row>
    <row r="145" spans="3:32" x14ac:dyDescent="0.3">
      <c r="C145">
        <f t="shared" si="22"/>
        <v>11</v>
      </c>
      <c r="D145" s="37">
        <v>46340</v>
      </c>
      <c r="E145">
        <v>0</v>
      </c>
      <c r="F145">
        <f t="shared" si="18"/>
        <v>0</v>
      </c>
      <c r="K145" s="37"/>
      <c r="L145"/>
      <c r="N145" t="str">
        <f t="shared" si="20"/>
        <v/>
      </c>
      <c r="O145">
        <f t="shared" si="21"/>
        <v>0</v>
      </c>
      <c r="P145">
        <f>IF(IF(ISERROR(MATCH(K145,Rotation_Reset_Dates[Date],0)),0,1)=1,1,IF(ISBLANK(K145),"",IF(OR(rotationDays=1,K145&lt;First_Instructional_Day1),0,IF(AND(rotationDays&gt;1,K145=First_Instructional_Day1),1,IF(P144+IF(OR(N144="Instructional",N144="Not Scheduled"),1,0)&gt;rotationDays,1,P144+IF(OR(N144="Instructional",N144="Not Scheduled"),1,0))))))</f>
        <v>1</v>
      </c>
      <c r="Q145" t="str">
        <f t="shared" si="19"/>
        <v/>
      </c>
      <c r="R145" t="str">
        <f>IF(ISBLANK(K145),"",IF(N145="Operational (no students)",99,IF(N145="Instructional",IF(rotationDays=1,Q145,P145),_xlfn.XLOOKUP(N145,TimeTable_Codes[Description],TimeTable_Codes[TimetableCode]))))</f>
        <v/>
      </c>
      <c r="S145" t="str">
        <f>IF(NOT(ISBLANK(K145)),VLOOKUP(K145,term_lookups[],2),"")</f>
        <v/>
      </c>
      <c r="T145" cm="1">
        <f t="array" ref="T145">IF(ISBLANK(K145),0,_xlfn.XLOOKUP(R145&amp;S145,Daily_Totals[Day]&amp;Daily_Totals[Term],Daily_Totals[Instruction]))</f>
        <v>0</v>
      </c>
      <c r="U145" cm="1">
        <f t="array" ref="U145">IF(ISBLANK(K145),0,_xlfn.XLOOKUP(R145&amp;S145,Daily_Totals[Day]&amp;Daily_Totals[Term],Daily_Totals[Non-Instruction]))</f>
        <v>0</v>
      </c>
      <c r="AC145" t="s">
        <v>41</v>
      </c>
      <c r="AD145">
        <f>SUMIFS(Exceptions[Instructional],Exceptions[Month],"="&amp;AC145)</f>
        <v>0</v>
      </c>
      <c r="AE145" s="42">
        <f>(SUMIFS(Exceptions[Assigned Time (Non-Instructional)],Exceptions[Month],"="&amp;AC145))</f>
        <v>0</v>
      </c>
      <c r="AF145" s="42">
        <f>+Exception_Totals[[#This Row],[Non-Instructional]]+Exception_Totals[[#This Row],[Instructional]]</f>
        <v>0</v>
      </c>
    </row>
    <row r="146" spans="3:32" x14ac:dyDescent="0.3">
      <c r="C146">
        <f t="shared" si="22"/>
        <v>11</v>
      </c>
      <c r="D146" s="37" cm="1">
        <f t="array" ref="D146:D152">TRANSPOSE(Calendar!B65:H65)</f>
        <v>46341</v>
      </c>
      <c r="E146" cm="1">
        <f t="array" ref="E146:E152">TRANSPOSE(Calendar!B66:H66)</f>
        <v>0</v>
      </c>
      <c r="F146">
        <f t="shared" si="18"/>
        <v>0</v>
      </c>
      <c r="K146" s="37"/>
      <c r="L146"/>
      <c r="N146" t="str">
        <f t="shared" si="20"/>
        <v/>
      </c>
      <c r="O146">
        <f t="shared" si="21"/>
        <v>0</v>
      </c>
      <c r="P146">
        <f>IF(IF(ISERROR(MATCH(K146,Rotation_Reset_Dates[Date],0)),0,1)=1,1,IF(ISBLANK(K146),"",IF(OR(rotationDays=1,K146&lt;First_Instructional_Day1),0,IF(AND(rotationDays&gt;1,K146=First_Instructional_Day1),1,IF(P145+IF(OR(N145="Instructional",N145="Not Scheduled"),1,0)&gt;rotationDays,1,P145+IF(OR(N145="Instructional",N145="Not Scheduled"),1,0))))))</f>
        <v>1</v>
      </c>
      <c r="Q146" t="str">
        <f t="shared" si="19"/>
        <v/>
      </c>
      <c r="R146" t="str">
        <f>IF(ISBLANK(K146),"",IF(N146="Operational (no students)",99,IF(N146="Instructional",IF(rotationDays=1,Q146,P146),_xlfn.XLOOKUP(N146,TimeTable_Codes[Description],TimeTable_Codes[TimetableCode]))))</f>
        <v/>
      </c>
      <c r="S146" t="str">
        <f>IF(NOT(ISBLANK(K146)),VLOOKUP(K146,term_lookups[],2),"")</f>
        <v/>
      </c>
      <c r="T146" cm="1">
        <f t="array" ref="T146">IF(ISBLANK(K146),0,_xlfn.XLOOKUP(R146&amp;S146,Daily_Totals[Day]&amp;Daily_Totals[Term],Daily_Totals[Instruction]))</f>
        <v>0</v>
      </c>
      <c r="U146" cm="1">
        <f t="array" ref="U146">IF(ISBLANK(K146),0,_xlfn.XLOOKUP(R146&amp;S146,Daily_Totals[Day]&amp;Daily_Totals[Term],Daily_Totals[Non-Instruction]))</f>
        <v>0</v>
      </c>
      <c r="AC146" t="s">
        <v>42</v>
      </c>
      <c r="AD146">
        <f>SUMIFS(Exceptions[Instructional],Exceptions[Month],"="&amp;AC146)</f>
        <v>0</v>
      </c>
      <c r="AE146" s="42">
        <f>(SUMIFS(Exceptions[Assigned Time (Non-Instructional)],Exceptions[Month],"="&amp;AC146))</f>
        <v>0</v>
      </c>
      <c r="AF146" s="42">
        <f>+Exception_Totals[[#This Row],[Non-Instructional]]+Exception_Totals[[#This Row],[Instructional]]</f>
        <v>0</v>
      </c>
    </row>
    <row r="147" spans="3:32" x14ac:dyDescent="0.3">
      <c r="C147">
        <f t="shared" si="22"/>
        <v>11</v>
      </c>
      <c r="D147" s="37">
        <v>46342</v>
      </c>
      <c r="E147">
        <v>0</v>
      </c>
      <c r="F147">
        <f t="shared" si="18"/>
        <v>0</v>
      </c>
      <c r="K147" s="37"/>
      <c r="L147"/>
      <c r="N147" t="str">
        <f t="shared" si="20"/>
        <v/>
      </c>
      <c r="O147">
        <f t="shared" si="21"/>
        <v>0</v>
      </c>
      <c r="P147">
        <f>IF(IF(ISERROR(MATCH(K147,Rotation_Reset_Dates[Date],0)),0,1)=1,1,IF(ISBLANK(K147),"",IF(OR(rotationDays=1,K147&lt;First_Instructional_Day1),0,IF(AND(rotationDays&gt;1,K147=First_Instructional_Day1),1,IF(P146+IF(OR(N146="Instructional",N146="Not Scheduled"),1,0)&gt;rotationDays,1,P146+IF(OR(N146="Instructional",N146="Not Scheduled"),1,0))))))</f>
        <v>1</v>
      </c>
      <c r="Q147" t="str">
        <f t="shared" si="19"/>
        <v/>
      </c>
      <c r="R147" t="str">
        <f>IF(ISBLANK(K147),"",IF(N147="Operational (no students)",99,IF(N147="Instructional",IF(rotationDays=1,Q147,P147),_xlfn.XLOOKUP(N147,TimeTable_Codes[Description],TimeTable_Codes[TimetableCode]))))</f>
        <v/>
      </c>
      <c r="S147" t="str">
        <f>IF(NOT(ISBLANK(K147)),VLOOKUP(K147,term_lookups[],2),"")</f>
        <v/>
      </c>
      <c r="T147" cm="1">
        <f t="array" ref="T147">IF(ISBLANK(K147),0,_xlfn.XLOOKUP(R147&amp;S147,Daily_Totals[Day]&amp;Daily_Totals[Term],Daily_Totals[Instruction]))</f>
        <v>0</v>
      </c>
      <c r="U147" cm="1">
        <f t="array" ref="U147">IF(ISBLANK(K147),0,_xlfn.XLOOKUP(R147&amp;S147,Daily_Totals[Day]&amp;Daily_Totals[Term],Daily_Totals[Non-Instruction]))</f>
        <v>0</v>
      </c>
      <c r="AC147" t="s">
        <v>43</v>
      </c>
      <c r="AD147">
        <f>SUMIFS(Exceptions[Instructional],Exceptions[Month],"="&amp;AC147)</f>
        <v>0</v>
      </c>
      <c r="AE147" s="42">
        <f>(SUMIFS(Exceptions[Assigned Time (Non-Instructional)],Exceptions[Month],"="&amp;AC147))</f>
        <v>0</v>
      </c>
      <c r="AF147" s="42">
        <f>+Exception_Totals[[#This Row],[Non-Instructional]]+Exception_Totals[[#This Row],[Instructional]]</f>
        <v>0</v>
      </c>
    </row>
    <row r="148" spans="3:32" x14ac:dyDescent="0.3">
      <c r="C148">
        <f t="shared" si="22"/>
        <v>11</v>
      </c>
      <c r="D148" s="37">
        <v>46343</v>
      </c>
      <c r="E148">
        <v>0</v>
      </c>
      <c r="F148">
        <f t="shared" si="18"/>
        <v>0</v>
      </c>
      <c r="K148" s="37"/>
      <c r="L148"/>
      <c r="N148" t="str">
        <f t="shared" si="20"/>
        <v/>
      </c>
      <c r="O148">
        <f t="shared" si="21"/>
        <v>0</v>
      </c>
      <c r="P148">
        <f>IF(IF(ISERROR(MATCH(K148,Rotation_Reset_Dates[Date],0)),0,1)=1,1,IF(ISBLANK(K148),"",IF(OR(rotationDays=1,K148&lt;First_Instructional_Day1),0,IF(AND(rotationDays&gt;1,K148=First_Instructional_Day1),1,IF(P147+IF(OR(N147="Instructional",N147="Not Scheduled"),1,0)&gt;rotationDays,1,P147+IF(OR(N147="Instructional",N147="Not Scheduled"),1,0))))))</f>
        <v>1</v>
      </c>
      <c r="Q148" t="str">
        <f t="shared" si="19"/>
        <v/>
      </c>
      <c r="R148" t="str">
        <f>IF(ISBLANK(K148),"",IF(N148="Operational (no students)",99,IF(N148="Instructional",IF(rotationDays=1,Q148,P148),_xlfn.XLOOKUP(N148,TimeTable_Codes[Description],TimeTable_Codes[TimetableCode]))))</f>
        <v/>
      </c>
      <c r="S148" t="str">
        <f>IF(NOT(ISBLANK(K148)),VLOOKUP(K148,term_lookups[],2),"")</f>
        <v/>
      </c>
      <c r="T148" cm="1">
        <f t="array" ref="T148">IF(ISBLANK(K148),0,_xlfn.XLOOKUP(R148&amp;S148,Daily_Totals[Day]&amp;Daily_Totals[Term],Daily_Totals[Instruction]))</f>
        <v>0</v>
      </c>
      <c r="U148" cm="1">
        <f t="array" ref="U148">IF(ISBLANK(K148),0,_xlfn.XLOOKUP(R148&amp;S148,Daily_Totals[Day]&amp;Daily_Totals[Term],Daily_Totals[Non-Instruction]))</f>
        <v>0</v>
      </c>
      <c r="AC148" t="s">
        <v>44</v>
      </c>
      <c r="AD148">
        <f>SUMIFS(Exceptions[Instructional],Exceptions[Month],"="&amp;AC148)</f>
        <v>0</v>
      </c>
      <c r="AE148" s="42">
        <f>(SUMIFS(Exceptions[Assigned Time (Non-Instructional)],Exceptions[Month],"="&amp;AC148))</f>
        <v>0</v>
      </c>
      <c r="AF148" s="42">
        <f>+Exception_Totals[[#This Row],[Non-Instructional]]+Exception_Totals[[#This Row],[Instructional]]</f>
        <v>0</v>
      </c>
    </row>
    <row r="149" spans="3:32" x14ac:dyDescent="0.3">
      <c r="C149">
        <f t="shared" si="22"/>
        <v>11</v>
      </c>
      <c r="D149" s="37">
        <v>46344</v>
      </c>
      <c r="E149">
        <v>0</v>
      </c>
      <c r="F149">
        <f t="shared" ref="F149:F212" si="25">IF(AND(MONTH(D149)=C149,D149&gt;=First_Operational_Day,D149&lt;=Last_Operational_Day,WEEKDAY(D149)&lt;&gt;1,WEEKDAY(D149)&lt;&gt;7,E149&lt;&gt;"Closed (non-operational)"),1,0)</f>
        <v>0</v>
      </c>
      <c r="K149" s="37"/>
      <c r="L149"/>
      <c r="N149" t="str">
        <f t="shared" si="20"/>
        <v/>
      </c>
      <c r="O149">
        <f t="shared" si="21"/>
        <v>0</v>
      </c>
      <c r="P149">
        <f>IF(IF(ISERROR(MATCH(K149,Rotation_Reset_Dates[Date],0)),0,1)=1,1,IF(ISBLANK(K149),"",IF(OR(rotationDays=1,K149&lt;First_Instructional_Day1),0,IF(AND(rotationDays&gt;1,K149=First_Instructional_Day1),1,IF(P148+IF(OR(N148="Instructional",N148="Not Scheduled"),1,0)&gt;rotationDays,1,P148+IF(OR(N148="Instructional",N148="Not Scheduled"),1,0))))))</f>
        <v>1</v>
      </c>
      <c r="Q149" t="str">
        <f t="shared" ref="Q149:Q212" si="26">IF(ISBLANK(K149),"",IF(K149&gt;=First_Instructional_Day1,WEEKDAY(K149)-1,0))</f>
        <v/>
      </c>
      <c r="R149" t="str">
        <f>IF(ISBLANK(K149),"",IF(N149="Operational (no students)",99,IF(N149="Instructional",IF(rotationDays=1,Q149,P149),_xlfn.XLOOKUP(N149,TimeTable_Codes[Description],TimeTable_Codes[TimetableCode]))))</f>
        <v/>
      </c>
      <c r="S149" t="str">
        <f>IF(NOT(ISBLANK(K149)),VLOOKUP(K149,term_lookups[],2),"")</f>
        <v/>
      </c>
      <c r="T149" cm="1">
        <f t="array" ref="T149">IF(ISBLANK(K149),0,_xlfn.XLOOKUP(R149&amp;S149,Daily_Totals[Day]&amp;Daily_Totals[Term],Daily_Totals[Instruction]))</f>
        <v>0</v>
      </c>
      <c r="U149" cm="1">
        <f t="array" ref="U149">IF(ISBLANK(K149),0,_xlfn.XLOOKUP(R149&amp;S149,Daily_Totals[Day]&amp;Daily_Totals[Term],Daily_Totals[Non-Instruction]))</f>
        <v>0</v>
      </c>
      <c r="AC149" t="s">
        <v>45</v>
      </c>
      <c r="AD149">
        <f>SUMIFS(Exceptions[Instructional],Exceptions[Month],"="&amp;AC149)</f>
        <v>0</v>
      </c>
      <c r="AE149" s="42">
        <f>(SUMIFS(Exceptions[Assigned Time (Non-Instructional)],Exceptions[Month],"="&amp;AC149))</f>
        <v>0</v>
      </c>
      <c r="AF149" s="42">
        <f>+Exception_Totals[[#This Row],[Non-Instructional]]+Exception_Totals[[#This Row],[Instructional]]</f>
        <v>0</v>
      </c>
    </row>
    <row r="150" spans="3:32" x14ac:dyDescent="0.3">
      <c r="C150">
        <f t="shared" si="22"/>
        <v>11</v>
      </c>
      <c r="D150" s="37">
        <v>46345</v>
      </c>
      <c r="E150">
        <v>0</v>
      </c>
      <c r="F150">
        <f t="shared" si="25"/>
        <v>0</v>
      </c>
      <c r="K150" s="37"/>
      <c r="L150"/>
      <c r="N150" t="str">
        <f t="shared" ref="N150:N213" si="27">IF(ISBLANK(K150),"",IF(L150=0,"Instructional",L150))</f>
        <v/>
      </c>
      <c r="O150">
        <f t="shared" ref="O150:O213" si="28">IF(OR(N150="Planning Day",N150="PD/In-Service Day"),1,0)</f>
        <v>0</v>
      </c>
      <c r="P150">
        <f>IF(IF(ISERROR(MATCH(K150,Rotation_Reset_Dates[Date],0)),0,1)=1,1,IF(ISBLANK(K150),"",IF(OR(rotationDays=1,K150&lt;First_Instructional_Day1),0,IF(AND(rotationDays&gt;1,K150=First_Instructional_Day1),1,IF(P149+IF(OR(N149="Instructional",N149="Not Scheduled"),1,0)&gt;rotationDays,1,P149+IF(OR(N149="Instructional",N149="Not Scheduled"),1,0))))))</f>
        <v>1</v>
      </c>
      <c r="Q150" t="str">
        <f t="shared" si="26"/>
        <v/>
      </c>
      <c r="R150" t="str">
        <f>IF(ISBLANK(K150),"",IF(N150="Operational (no students)",99,IF(N150="Instructional",IF(rotationDays=1,Q150,P150),_xlfn.XLOOKUP(N150,TimeTable_Codes[Description],TimeTable_Codes[TimetableCode]))))</f>
        <v/>
      </c>
      <c r="S150" t="str">
        <f>IF(NOT(ISBLANK(K150)),VLOOKUP(K150,term_lookups[],2),"")</f>
        <v/>
      </c>
      <c r="T150" cm="1">
        <f t="array" ref="T150">IF(ISBLANK(K150),0,_xlfn.XLOOKUP(R150&amp;S150,Daily_Totals[Day]&amp;Daily_Totals[Term],Daily_Totals[Instruction]))</f>
        <v>0</v>
      </c>
      <c r="U150" cm="1">
        <f t="array" ref="U150">IF(ISBLANK(K150),0,_xlfn.XLOOKUP(R150&amp;S150,Daily_Totals[Day]&amp;Daily_Totals[Term],Daily_Totals[Non-Instruction]))</f>
        <v>0</v>
      </c>
    </row>
    <row r="151" spans="3:32" x14ac:dyDescent="0.3">
      <c r="C151">
        <f t="shared" si="22"/>
        <v>11</v>
      </c>
      <c r="D151" s="37">
        <v>46346</v>
      </c>
      <c r="E151">
        <v>0</v>
      </c>
      <c r="F151">
        <f t="shared" si="25"/>
        <v>0</v>
      </c>
      <c r="K151" s="37"/>
      <c r="L151"/>
      <c r="N151" t="str">
        <f t="shared" si="27"/>
        <v/>
      </c>
      <c r="O151">
        <f t="shared" si="28"/>
        <v>0</v>
      </c>
      <c r="P151">
        <f>IF(IF(ISERROR(MATCH(K151,Rotation_Reset_Dates[Date],0)),0,1)=1,1,IF(ISBLANK(K151),"",IF(OR(rotationDays=1,K151&lt;First_Instructional_Day1),0,IF(AND(rotationDays&gt;1,K151=First_Instructional_Day1),1,IF(P150+IF(OR(N150="Instructional",N150="Not Scheduled"),1,0)&gt;rotationDays,1,P150+IF(OR(N150="Instructional",N150="Not Scheduled"),1,0))))))</f>
        <v>1</v>
      </c>
      <c r="Q151" t="str">
        <f t="shared" si="26"/>
        <v/>
      </c>
      <c r="R151" t="str">
        <f>IF(ISBLANK(K151),"",IF(N151="Operational (no students)",99,IF(N151="Instructional",IF(rotationDays=1,Q151,P151),_xlfn.XLOOKUP(N151,TimeTable_Codes[Description],TimeTable_Codes[TimetableCode]))))</f>
        <v/>
      </c>
      <c r="S151" t="str">
        <f>IF(NOT(ISBLANK(K151)),VLOOKUP(K151,term_lookups[],2),"")</f>
        <v/>
      </c>
      <c r="T151" cm="1">
        <f t="array" ref="T151">IF(ISBLANK(K151),0,_xlfn.XLOOKUP(R151&amp;S151,Daily_Totals[Day]&amp;Daily_Totals[Term],Daily_Totals[Instruction]))</f>
        <v>0</v>
      </c>
      <c r="U151" cm="1">
        <f t="array" ref="U151">IF(ISBLANK(K151),0,_xlfn.XLOOKUP(R151&amp;S151,Daily_Totals[Day]&amp;Daily_Totals[Term],Daily_Totals[Non-Instruction]))</f>
        <v>0</v>
      </c>
    </row>
    <row r="152" spans="3:32" x14ac:dyDescent="0.3">
      <c r="C152">
        <f t="shared" si="22"/>
        <v>11</v>
      </c>
      <c r="D152" s="37">
        <v>46347</v>
      </c>
      <c r="E152">
        <v>0</v>
      </c>
      <c r="F152">
        <f t="shared" si="25"/>
        <v>0</v>
      </c>
      <c r="K152" s="37"/>
      <c r="L152"/>
      <c r="N152" t="str">
        <f t="shared" si="27"/>
        <v/>
      </c>
      <c r="O152">
        <f t="shared" si="28"/>
        <v>0</v>
      </c>
      <c r="P152">
        <f>IF(IF(ISERROR(MATCH(K152,Rotation_Reset_Dates[Date],0)),0,1)=1,1,IF(ISBLANK(K152),"",IF(OR(rotationDays=1,K152&lt;First_Instructional_Day1),0,IF(AND(rotationDays&gt;1,K152=First_Instructional_Day1),1,IF(P151+IF(OR(N151="Instructional",N151="Not Scheduled"),1,0)&gt;rotationDays,1,P151+IF(OR(N151="Instructional",N151="Not Scheduled"),1,0))))))</f>
        <v>1</v>
      </c>
      <c r="Q152" t="str">
        <f t="shared" si="26"/>
        <v/>
      </c>
      <c r="R152" t="str">
        <f>IF(ISBLANK(K152),"",IF(N152="Operational (no students)",99,IF(N152="Instructional",IF(rotationDays=1,Q152,P152),_xlfn.XLOOKUP(N152,TimeTable_Codes[Description],TimeTable_Codes[TimetableCode]))))</f>
        <v/>
      </c>
      <c r="S152" t="str">
        <f>IF(NOT(ISBLANK(K152)),VLOOKUP(K152,term_lookups[],2),"")</f>
        <v/>
      </c>
      <c r="T152" cm="1">
        <f t="array" ref="T152">IF(ISBLANK(K152),0,_xlfn.XLOOKUP(R152&amp;S152,Daily_Totals[Day]&amp;Daily_Totals[Term],Daily_Totals[Instruction]))</f>
        <v>0</v>
      </c>
      <c r="U152" cm="1">
        <f t="array" ref="U152">IF(ISBLANK(K152),0,_xlfn.XLOOKUP(R152&amp;S152,Daily_Totals[Day]&amp;Daily_Totals[Term],Daily_Totals[Non-Instruction]))</f>
        <v>0</v>
      </c>
    </row>
    <row r="153" spans="3:32" x14ac:dyDescent="0.3">
      <c r="C153">
        <f t="shared" si="22"/>
        <v>11</v>
      </c>
      <c r="D153" s="37" cm="1">
        <f t="array" ref="D153:D159">TRANSPOSE(Calendar!B67:H67)</f>
        <v>46348</v>
      </c>
      <c r="E153" cm="1">
        <f t="array" ref="E153:E159">TRANSPOSE(Calendar!B68:H68)</f>
        <v>0</v>
      </c>
      <c r="F153">
        <f t="shared" si="25"/>
        <v>0</v>
      </c>
      <c r="K153" s="37"/>
      <c r="L153"/>
      <c r="N153" t="str">
        <f t="shared" si="27"/>
        <v/>
      </c>
      <c r="O153">
        <f t="shared" si="28"/>
        <v>0</v>
      </c>
      <c r="P153">
        <f>IF(IF(ISERROR(MATCH(K153,Rotation_Reset_Dates[Date],0)),0,1)=1,1,IF(ISBLANK(K153),"",IF(OR(rotationDays=1,K153&lt;First_Instructional_Day1),0,IF(AND(rotationDays&gt;1,K153=First_Instructional_Day1),1,IF(P152+IF(OR(N152="Instructional",N152="Not Scheduled"),1,0)&gt;rotationDays,1,P152+IF(OR(N152="Instructional",N152="Not Scheduled"),1,0))))))</f>
        <v>1</v>
      </c>
      <c r="Q153" t="str">
        <f t="shared" si="26"/>
        <v/>
      </c>
      <c r="R153" t="str">
        <f>IF(ISBLANK(K153),"",IF(N153="Operational (no students)",99,IF(N153="Instructional",IF(rotationDays=1,Q153,P153),_xlfn.XLOOKUP(N153,TimeTable_Codes[Description],TimeTable_Codes[TimetableCode]))))</f>
        <v/>
      </c>
      <c r="S153" t="str">
        <f>IF(NOT(ISBLANK(K153)),VLOOKUP(K153,term_lookups[],2),"")</f>
        <v/>
      </c>
      <c r="T153" cm="1">
        <f t="array" ref="T153">IF(ISBLANK(K153),0,_xlfn.XLOOKUP(R153&amp;S153,Daily_Totals[Day]&amp;Daily_Totals[Term],Daily_Totals[Instruction]))</f>
        <v>0</v>
      </c>
      <c r="U153" cm="1">
        <f t="array" ref="U153">IF(ISBLANK(K153),0,_xlfn.XLOOKUP(R153&amp;S153,Daily_Totals[Day]&amp;Daily_Totals[Term],Daily_Totals[Non-Instruction]))</f>
        <v>0</v>
      </c>
    </row>
    <row r="154" spans="3:32" x14ac:dyDescent="0.3">
      <c r="C154">
        <f t="shared" si="22"/>
        <v>11</v>
      </c>
      <c r="D154" s="37">
        <v>46349</v>
      </c>
      <c r="E154">
        <v>0</v>
      </c>
      <c r="F154">
        <f t="shared" si="25"/>
        <v>0</v>
      </c>
      <c r="K154" s="37"/>
      <c r="L154"/>
      <c r="N154" t="str">
        <f t="shared" si="27"/>
        <v/>
      </c>
      <c r="O154">
        <f t="shared" si="28"/>
        <v>0</v>
      </c>
      <c r="P154">
        <f>IF(IF(ISERROR(MATCH(K154,Rotation_Reset_Dates[Date],0)),0,1)=1,1,IF(ISBLANK(K154),"",IF(OR(rotationDays=1,K154&lt;First_Instructional_Day1),0,IF(AND(rotationDays&gt;1,K154=First_Instructional_Day1),1,IF(P153+IF(OR(N153="Instructional",N153="Not Scheduled"),1,0)&gt;rotationDays,1,P153+IF(OR(N153="Instructional",N153="Not Scheduled"),1,0))))))</f>
        <v>1</v>
      </c>
      <c r="Q154" t="str">
        <f t="shared" si="26"/>
        <v/>
      </c>
      <c r="R154" t="str">
        <f>IF(ISBLANK(K154),"",IF(N154="Operational (no students)",99,IF(N154="Instructional",IF(rotationDays=1,Q154,P154),_xlfn.XLOOKUP(N154,TimeTable_Codes[Description],TimeTable_Codes[TimetableCode]))))</f>
        <v/>
      </c>
      <c r="S154" t="str">
        <f>IF(NOT(ISBLANK(K154)),VLOOKUP(K154,term_lookups[],2),"")</f>
        <v/>
      </c>
      <c r="T154" cm="1">
        <f t="array" ref="T154">IF(ISBLANK(K154),0,_xlfn.XLOOKUP(R154&amp;S154,Daily_Totals[Day]&amp;Daily_Totals[Term],Daily_Totals[Instruction]))</f>
        <v>0</v>
      </c>
      <c r="U154" cm="1">
        <f t="array" ref="U154">IF(ISBLANK(K154),0,_xlfn.XLOOKUP(R154&amp;S154,Daily_Totals[Day]&amp;Daily_Totals[Term],Daily_Totals[Non-Instruction]))</f>
        <v>0</v>
      </c>
    </row>
    <row r="155" spans="3:32" x14ac:dyDescent="0.3">
      <c r="C155">
        <f t="shared" si="22"/>
        <v>11</v>
      </c>
      <c r="D155" s="37">
        <v>46350</v>
      </c>
      <c r="E155">
        <v>0</v>
      </c>
      <c r="F155">
        <f t="shared" si="25"/>
        <v>0</v>
      </c>
      <c r="K155" s="37"/>
      <c r="L155"/>
      <c r="N155" t="str">
        <f t="shared" si="27"/>
        <v/>
      </c>
      <c r="O155">
        <f t="shared" si="28"/>
        <v>0</v>
      </c>
      <c r="P155">
        <f>IF(IF(ISERROR(MATCH(K155,Rotation_Reset_Dates[Date],0)),0,1)=1,1,IF(ISBLANK(K155),"",IF(OR(rotationDays=1,K155&lt;First_Instructional_Day1),0,IF(AND(rotationDays&gt;1,K155=First_Instructional_Day1),1,IF(P154+IF(OR(N154="Instructional",N154="Not Scheduled"),1,0)&gt;rotationDays,1,P154+IF(OR(N154="Instructional",N154="Not Scheduled"),1,0))))))</f>
        <v>1</v>
      </c>
      <c r="Q155" t="str">
        <f t="shared" si="26"/>
        <v/>
      </c>
      <c r="R155" t="str">
        <f>IF(ISBLANK(K155),"",IF(N155="Operational (no students)",99,IF(N155="Instructional",IF(rotationDays=1,Q155,P155),_xlfn.XLOOKUP(N155,TimeTable_Codes[Description],TimeTable_Codes[TimetableCode]))))</f>
        <v/>
      </c>
      <c r="S155" t="str">
        <f>IF(NOT(ISBLANK(K155)),VLOOKUP(K155,term_lookups[],2),"")</f>
        <v/>
      </c>
      <c r="T155" cm="1">
        <f t="array" ref="T155">IF(ISBLANK(K155),0,_xlfn.XLOOKUP(R155&amp;S155,Daily_Totals[Day]&amp;Daily_Totals[Term],Daily_Totals[Instruction]))</f>
        <v>0</v>
      </c>
      <c r="U155" cm="1">
        <f t="array" ref="U155">IF(ISBLANK(K155),0,_xlfn.XLOOKUP(R155&amp;S155,Daily_Totals[Day]&amp;Daily_Totals[Term],Daily_Totals[Non-Instruction]))</f>
        <v>0</v>
      </c>
    </row>
    <row r="156" spans="3:32" x14ac:dyDescent="0.3">
      <c r="C156">
        <f t="shared" si="22"/>
        <v>11</v>
      </c>
      <c r="D156" s="37">
        <v>46351</v>
      </c>
      <c r="E156">
        <v>0</v>
      </c>
      <c r="F156">
        <f t="shared" si="25"/>
        <v>0</v>
      </c>
      <c r="K156" s="37"/>
      <c r="L156"/>
      <c r="N156" t="str">
        <f t="shared" si="27"/>
        <v/>
      </c>
      <c r="O156">
        <f t="shared" si="28"/>
        <v>0</v>
      </c>
      <c r="P156">
        <f>IF(IF(ISERROR(MATCH(K156,Rotation_Reset_Dates[Date],0)),0,1)=1,1,IF(ISBLANK(K156),"",IF(OR(rotationDays=1,K156&lt;First_Instructional_Day1),0,IF(AND(rotationDays&gt;1,K156=First_Instructional_Day1),1,IF(P155+IF(OR(N155="Instructional",N155="Not Scheduled"),1,0)&gt;rotationDays,1,P155+IF(OR(N155="Instructional",N155="Not Scheduled"),1,0))))))</f>
        <v>1</v>
      </c>
      <c r="Q156" t="str">
        <f t="shared" si="26"/>
        <v/>
      </c>
      <c r="R156" t="str">
        <f>IF(ISBLANK(K156),"",IF(N156="Operational (no students)",99,IF(N156="Instructional",IF(rotationDays=1,Q156,P156),_xlfn.XLOOKUP(N156,TimeTable_Codes[Description],TimeTable_Codes[TimetableCode]))))</f>
        <v/>
      </c>
      <c r="S156" t="str">
        <f>IF(NOT(ISBLANK(K156)),VLOOKUP(K156,term_lookups[],2),"")</f>
        <v/>
      </c>
      <c r="T156" cm="1">
        <f t="array" ref="T156">IF(ISBLANK(K156),0,_xlfn.XLOOKUP(R156&amp;S156,Daily_Totals[Day]&amp;Daily_Totals[Term],Daily_Totals[Instruction]))</f>
        <v>0</v>
      </c>
      <c r="U156" cm="1">
        <f t="array" ref="U156">IF(ISBLANK(K156),0,_xlfn.XLOOKUP(R156&amp;S156,Daily_Totals[Day]&amp;Daily_Totals[Term],Daily_Totals[Non-Instruction]))</f>
        <v>0</v>
      </c>
    </row>
    <row r="157" spans="3:32" x14ac:dyDescent="0.3">
      <c r="C157">
        <f t="shared" si="22"/>
        <v>11</v>
      </c>
      <c r="D157" s="37">
        <v>46352</v>
      </c>
      <c r="E157">
        <v>0</v>
      </c>
      <c r="F157">
        <f t="shared" si="25"/>
        <v>0</v>
      </c>
      <c r="K157" s="37"/>
      <c r="L157"/>
      <c r="N157" t="str">
        <f t="shared" si="27"/>
        <v/>
      </c>
      <c r="O157">
        <f t="shared" si="28"/>
        <v>0</v>
      </c>
      <c r="P157">
        <f>IF(IF(ISERROR(MATCH(K157,Rotation_Reset_Dates[Date],0)),0,1)=1,1,IF(ISBLANK(K157),"",IF(OR(rotationDays=1,K157&lt;First_Instructional_Day1),0,IF(AND(rotationDays&gt;1,K157=First_Instructional_Day1),1,IF(P156+IF(OR(N156="Instructional",N156="Not Scheduled"),1,0)&gt;rotationDays,1,P156+IF(OR(N156="Instructional",N156="Not Scheduled"),1,0))))))</f>
        <v>1</v>
      </c>
      <c r="Q157" t="str">
        <f t="shared" si="26"/>
        <v/>
      </c>
      <c r="R157" t="str">
        <f>IF(ISBLANK(K157),"",IF(N157="Operational (no students)",99,IF(N157="Instructional",IF(rotationDays=1,Q157,P157),_xlfn.XLOOKUP(N157,TimeTable_Codes[Description],TimeTable_Codes[TimetableCode]))))</f>
        <v/>
      </c>
      <c r="S157" t="str">
        <f>IF(NOT(ISBLANK(K157)),VLOOKUP(K157,term_lookups[],2),"")</f>
        <v/>
      </c>
      <c r="T157" cm="1">
        <f t="array" ref="T157">IF(ISBLANK(K157),0,_xlfn.XLOOKUP(R157&amp;S157,Daily_Totals[Day]&amp;Daily_Totals[Term],Daily_Totals[Instruction]))</f>
        <v>0</v>
      </c>
      <c r="U157" cm="1">
        <f t="array" ref="U157">IF(ISBLANK(K157),0,_xlfn.XLOOKUP(R157&amp;S157,Daily_Totals[Day]&amp;Daily_Totals[Term],Daily_Totals[Non-Instruction]))</f>
        <v>0</v>
      </c>
    </row>
    <row r="158" spans="3:32" x14ac:dyDescent="0.3">
      <c r="C158">
        <f t="shared" si="22"/>
        <v>11</v>
      </c>
      <c r="D158" s="37">
        <v>46353</v>
      </c>
      <c r="E158">
        <v>0</v>
      </c>
      <c r="F158">
        <f t="shared" si="25"/>
        <v>0</v>
      </c>
      <c r="K158" s="37"/>
      <c r="L158"/>
      <c r="N158" t="str">
        <f t="shared" si="27"/>
        <v/>
      </c>
      <c r="O158">
        <f t="shared" si="28"/>
        <v>0</v>
      </c>
      <c r="P158">
        <f>IF(IF(ISERROR(MATCH(K158,Rotation_Reset_Dates[Date],0)),0,1)=1,1,IF(ISBLANK(K158),"",IF(OR(rotationDays=1,K158&lt;First_Instructional_Day1),0,IF(AND(rotationDays&gt;1,K158=First_Instructional_Day1),1,IF(P157+IF(OR(N157="Instructional",N157="Not Scheduled"),1,0)&gt;rotationDays,1,P157+IF(OR(N157="Instructional",N157="Not Scheduled"),1,0))))))</f>
        <v>1</v>
      </c>
      <c r="Q158" t="str">
        <f t="shared" si="26"/>
        <v/>
      </c>
      <c r="R158" t="str">
        <f>IF(ISBLANK(K158),"",IF(N158="Operational (no students)",99,IF(N158="Instructional",IF(rotationDays=1,Q158,P158),_xlfn.XLOOKUP(N158,TimeTable_Codes[Description],TimeTable_Codes[TimetableCode]))))</f>
        <v/>
      </c>
      <c r="S158" t="str">
        <f>IF(NOT(ISBLANK(K158)),VLOOKUP(K158,term_lookups[],2),"")</f>
        <v/>
      </c>
      <c r="T158" cm="1">
        <f t="array" ref="T158">IF(ISBLANK(K158),0,_xlfn.XLOOKUP(R158&amp;S158,Daily_Totals[Day]&amp;Daily_Totals[Term],Daily_Totals[Instruction]))</f>
        <v>0</v>
      </c>
      <c r="U158" cm="1">
        <f t="array" ref="U158">IF(ISBLANK(K158),0,_xlfn.XLOOKUP(R158&amp;S158,Daily_Totals[Day]&amp;Daily_Totals[Term],Daily_Totals[Non-Instruction]))</f>
        <v>0</v>
      </c>
    </row>
    <row r="159" spans="3:32" x14ac:dyDescent="0.3">
      <c r="C159">
        <f t="shared" si="22"/>
        <v>11</v>
      </c>
      <c r="D159" s="37">
        <v>46354</v>
      </c>
      <c r="E159">
        <v>0</v>
      </c>
      <c r="F159">
        <f t="shared" si="25"/>
        <v>0</v>
      </c>
      <c r="K159" s="37"/>
      <c r="L159"/>
      <c r="N159" t="str">
        <f t="shared" si="27"/>
        <v/>
      </c>
      <c r="O159">
        <f t="shared" si="28"/>
        <v>0</v>
      </c>
      <c r="P159">
        <f>IF(IF(ISERROR(MATCH(K159,Rotation_Reset_Dates[Date],0)),0,1)=1,1,IF(ISBLANK(K159),"",IF(OR(rotationDays=1,K159&lt;First_Instructional_Day1),0,IF(AND(rotationDays&gt;1,K159=First_Instructional_Day1),1,IF(P158+IF(OR(N158="Instructional",N158="Not Scheduled"),1,0)&gt;rotationDays,1,P158+IF(OR(N158="Instructional",N158="Not Scheduled"),1,0))))))</f>
        <v>1</v>
      </c>
      <c r="Q159" t="str">
        <f t="shared" si="26"/>
        <v/>
      </c>
      <c r="R159" t="str">
        <f>IF(ISBLANK(K159),"",IF(N159="Operational (no students)",99,IF(N159="Instructional",IF(rotationDays=1,Q159,P159),_xlfn.XLOOKUP(N159,TimeTable_Codes[Description],TimeTable_Codes[TimetableCode]))))</f>
        <v/>
      </c>
      <c r="S159" t="str">
        <f>IF(NOT(ISBLANK(K159)),VLOOKUP(K159,term_lookups[],2),"")</f>
        <v/>
      </c>
      <c r="T159" cm="1">
        <f t="array" ref="T159">IF(ISBLANK(K159),0,_xlfn.XLOOKUP(R159&amp;S159,Daily_Totals[Day]&amp;Daily_Totals[Term],Daily_Totals[Instruction]))</f>
        <v>0</v>
      </c>
      <c r="U159" cm="1">
        <f t="array" ref="U159">IF(ISBLANK(K159),0,_xlfn.XLOOKUP(R159&amp;S159,Daily_Totals[Day]&amp;Daily_Totals[Term],Daily_Totals[Non-Instruction]))</f>
        <v>0</v>
      </c>
    </row>
    <row r="160" spans="3:32" x14ac:dyDescent="0.3">
      <c r="C160">
        <f t="shared" ref="C160:C205" si="29">+C123+1</f>
        <v>11</v>
      </c>
      <c r="D160" s="37" cm="1">
        <f t="array" ref="D160:D166">TRANSPOSE(Calendar!B69:H69)</f>
        <v>46355</v>
      </c>
      <c r="E160" cm="1">
        <f t="array" ref="E160:E166">TRANSPOSE(Calendar!B70:H70)</f>
        <v>0</v>
      </c>
      <c r="F160">
        <f t="shared" si="25"/>
        <v>0</v>
      </c>
      <c r="K160" s="37"/>
      <c r="L160"/>
      <c r="N160" t="str">
        <f t="shared" si="27"/>
        <v/>
      </c>
      <c r="O160">
        <f t="shared" si="28"/>
        <v>0</v>
      </c>
      <c r="P160">
        <f>IF(IF(ISERROR(MATCH(K160,Rotation_Reset_Dates[Date],0)),0,1)=1,1,IF(ISBLANK(K160),"",IF(OR(rotationDays=1,K160&lt;First_Instructional_Day1),0,IF(AND(rotationDays&gt;1,K160=First_Instructional_Day1),1,IF(P159+IF(OR(N159="Instructional",N159="Not Scheduled"),1,0)&gt;rotationDays,1,P159+IF(OR(N159="Instructional",N159="Not Scheduled"),1,0))))))</f>
        <v>1</v>
      </c>
      <c r="Q160" t="str">
        <f t="shared" si="26"/>
        <v/>
      </c>
      <c r="R160" t="str">
        <f>IF(ISBLANK(K160),"",IF(N160="Operational (no students)",99,IF(N160="Instructional",IF(rotationDays=1,Q160,P160),_xlfn.XLOOKUP(N160,TimeTable_Codes[Description],TimeTable_Codes[TimetableCode]))))</f>
        <v/>
      </c>
      <c r="S160" t="str">
        <f>IF(NOT(ISBLANK(K160)),VLOOKUP(K160,term_lookups[],2),"")</f>
        <v/>
      </c>
      <c r="T160" cm="1">
        <f t="array" ref="T160">IF(ISBLANK(K160),0,_xlfn.XLOOKUP(R160&amp;S160,Daily_Totals[Day]&amp;Daily_Totals[Term],Daily_Totals[Instruction]))</f>
        <v>0</v>
      </c>
      <c r="U160" cm="1">
        <f t="array" ref="U160">IF(ISBLANK(K160),0,_xlfn.XLOOKUP(R160&amp;S160,Daily_Totals[Day]&amp;Daily_Totals[Term],Daily_Totals[Non-Instruction]))</f>
        <v>0</v>
      </c>
    </row>
    <row r="161" spans="3:21" x14ac:dyDescent="0.3">
      <c r="C161">
        <f t="shared" si="29"/>
        <v>11</v>
      </c>
      <c r="D161" s="37">
        <v>46356</v>
      </c>
      <c r="E161">
        <v>0</v>
      </c>
      <c r="F161">
        <f t="shared" si="25"/>
        <v>0</v>
      </c>
      <c r="K161" s="37"/>
      <c r="L161"/>
      <c r="N161" t="str">
        <f t="shared" si="27"/>
        <v/>
      </c>
      <c r="O161">
        <f t="shared" si="28"/>
        <v>0</v>
      </c>
      <c r="P161">
        <f>IF(IF(ISERROR(MATCH(K161,Rotation_Reset_Dates[Date],0)),0,1)=1,1,IF(ISBLANK(K161),"",IF(OR(rotationDays=1,K161&lt;First_Instructional_Day1),0,IF(AND(rotationDays&gt;1,K161=First_Instructional_Day1),1,IF(P160+IF(OR(N160="Instructional",N160="Not Scheduled"),1,0)&gt;rotationDays,1,P160+IF(OR(N160="Instructional",N160="Not Scheduled"),1,0))))))</f>
        <v>1</v>
      </c>
      <c r="Q161" t="str">
        <f t="shared" si="26"/>
        <v/>
      </c>
      <c r="R161" t="str">
        <f>IF(ISBLANK(K161),"",IF(N161="Operational (no students)",99,IF(N161="Instructional",IF(rotationDays=1,Q161,P161),_xlfn.XLOOKUP(N161,TimeTable_Codes[Description],TimeTable_Codes[TimetableCode]))))</f>
        <v/>
      </c>
      <c r="S161" t="str">
        <f>IF(NOT(ISBLANK(K161)),VLOOKUP(K161,term_lookups[],2),"")</f>
        <v/>
      </c>
      <c r="T161" cm="1">
        <f t="array" ref="T161">IF(ISBLANK(K161),0,_xlfn.XLOOKUP(R161&amp;S161,Daily_Totals[Day]&amp;Daily_Totals[Term],Daily_Totals[Instruction]))</f>
        <v>0</v>
      </c>
      <c r="U161" cm="1">
        <f t="array" ref="U161">IF(ISBLANK(K161),0,_xlfn.XLOOKUP(R161&amp;S161,Daily_Totals[Day]&amp;Daily_Totals[Term],Daily_Totals[Non-Instruction]))</f>
        <v>0</v>
      </c>
    </row>
    <row r="162" spans="3:21" x14ac:dyDescent="0.3">
      <c r="C162">
        <f t="shared" si="29"/>
        <v>11</v>
      </c>
      <c r="D162" s="37">
        <v>46357</v>
      </c>
      <c r="E162">
        <v>0</v>
      </c>
      <c r="F162">
        <f t="shared" si="25"/>
        <v>0</v>
      </c>
      <c r="K162" s="37"/>
      <c r="L162"/>
      <c r="N162" t="str">
        <f t="shared" si="27"/>
        <v/>
      </c>
      <c r="O162">
        <f t="shared" si="28"/>
        <v>0</v>
      </c>
      <c r="P162">
        <f>IF(IF(ISERROR(MATCH(K162,Rotation_Reset_Dates[Date],0)),0,1)=1,1,IF(ISBLANK(K162),"",IF(OR(rotationDays=1,K162&lt;First_Instructional_Day1),0,IF(AND(rotationDays&gt;1,K162=First_Instructional_Day1),1,IF(P161+IF(OR(N161="Instructional",N161="Not Scheduled"),1,0)&gt;rotationDays,1,P161+IF(OR(N161="Instructional",N161="Not Scheduled"),1,0))))))</f>
        <v>1</v>
      </c>
      <c r="Q162" t="str">
        <f t="shared" si="26"/>
        <v/>
      </c>
      <c r="R162" t="str">
        <f>IF(ISBLANK(K162),"",IF(N162="Operational (no students)",99,IF(N162="Instructional",IF(rotationDays=1,Q162,P162),_xlfn.XLOOKUP(N162,TimeTable_Codes[Description],TimeTable_Codes[TimetableCode]))))</f>
        <v/>
      </c>
      <c r="S162" t="str">
        <f>IF(NOT(ISBLANK(K162)),VLOOKUP(K162,term_lookups[],2),"")</f>
        <v/>
      </c>
      <c r="T162" cm="1">
        <f t="array" ref="T162">IF(ISBLANK(K162),0,_xlfn.XLOOKUP(R162&amp;S162,Daily_Totals[Day]&amp;Daily_Totals[Term],Daily_Totals[Instruction]))</f>
        <v>0</v>
      </c>
      <c r="U162" cm="1">
        <f t="array" ref="U162">IF(ISBLANK(K162),0,_xlfn.XLOOKUP(R162&amp;S162,Daily_Totals[Day]&amp;Daily_Totals[Term],Daily_Totals[Non-Instruction]))</f>
        <v>0</v>
      </c>
    </row>
    <row r="163" spans="3:21" x14ac:dyDescent="0.3">
      <c r="C163">
        <f t="shared" si="29"/>
        <v>11</v>
      </c>
      <c r="D163" s="37">
        <v>46358</v>
      </c>
      <c r="E163">
        <v>0</v>
      </c>
      <c r="F163">
        <f t="shared" si="25"/>
        <v>0</v>
      </c>
      <c r="K163" s="37"/>
      <c r="L163"/>
      <c r="N163" t="str">
        <f t="shared" si="27"/>
        <v/>
      </c>
      <c r="O163">
        <f t="shared" si="28"/>
        <v>0</v>
      </c>
      <c r="P163">
        <f>IF(IF(ISERROR(MATCH(K163,Rotation_Reset_Dates[Date],0)),0,1)=1,1,IF(ISBLANK(K163),"",IF(OR(rotationDays=1,K163&lt;First_Instructional_Day1),0,IF(AND(rotationDays&gt;1,K163=First_Instructional_Day1),1,IF(P162+IF(OR(N162="Instructional",N162="Not Scheduled"),1,0)&gt;rotationDays,1,P162+IF(OR(N162="Instructional",N162="Not Scheduled"),1,0))))))</f>
        <v>1</v>
      </c>
      <c r="Q163" t="str">
        <f t="shared" si="26"/>
        <v/>
      </c>
      <c r="R163" t="str">
        <f>IF(ISBLANK(K163),"",IF(N163="Operational (no students)",99,IF(N163="Instructional",IF(rotationDays=1,Q163,P163),_xlfn.XLOOKUP(N163,TimeTable_Codes[Description],TimeTable_Codes[TimetableCode]))))</f>
        <v/>
      </c>
      <c r="S163" t="str">
        <f>IF(NOT(ISBLANK(K163)),VLOOKUP(K163,term_lookups[],2),"")</f>
        <v/>
      </c>
      <c r="T163" cm="1">
        <f t="array" ref="T163">IF(ISBLANK(K163),0,_xlfn.XLOOKUP(R163&amp;S163,Daily_Totals[Day]&amp;Daily_Totals[Term],Daily_Totals[Instruction]))</f>
        <v>0</v>
      </c>
      <c r="U163" cm="1">
        <f t="array" ref="U163">IF(ISBLANK(K163),0,_xlfn.XLOOKUP(R163&amp;S163,Daily_Totals[Day]&amp;Daily_Totals[Term],Daily_Totals[Non-Instruction]))</f>
        <v>0</v>
      </c>
    </row>
    <row r="164" spans="3:21" x14ac:dyDescent="0.3">
      <c r="C164">
        <f t="shared" si="29"/>
        <v>11</v>
      </c>
      <c r="D164" s="37">
        <v>46359</v>
      </c>
      <c r="E164">
        <v>0</v>
      </c>
      <c r="F164">
        <f t="shared" si="25"/>
        <v>0</v>
      </c>
      <c r="K164" s="37"/>
      <c r="L164"/>
      <c r="N164" t="str">
        <f t="shared" si="27"/>
        <v/>
      </c>
      <c r="O164">
        <f t="shared" si="28"/>
        <v>0</v>
      </c>
      <c r="P164">
        <f>IF(IF(ISERROR(MATCH(K164,Rotation_Reset_Dates[Date],0)),0,1)=1,1,IF(ISBLANK(K164),"",IF(OR(rotationDays=1,K164&lt;First_Instructional_Day1),0,IF(AND(rotationDays&gt;1,K164=First_Instructional_Day1),1,IF(P163+IF(OR(N163="Instructional",N163="Not Scheduled"),1,0)&gt;rotationDays,1,P163+IF(OR(N163="Instructional",N163="Not Scheduled"),1,0))))))</f>
        <v>1</v>
      </c>
      <c r="Q164" t="str">
        <f t="shared" si="26"/>
        <v/>
      </c>
      <c r="R164" t="str">
        <f>IF(ISBLANK(K164),"",IF(N164="Operational (no students)",99,IF(N164="Instructional",IF(rotationDays=1,Q164,P164),_xlfn.XLOOKUP(N164,TimeTable_Codes[Description],TimeTable_Codes[TimetableCode]))))</f>
        <v/>
      </c>
      <c r="S164" t="str">
        <f>IF(NOT(ISBLANK(K164)),VLOOKUP(K164,term_lookups[],2),"")</f>
        <v/>
      </c>
      <c r="T164" cm="1">
        <f t="array" ref="T164">IF(ISBLANK(K164),0,_xlfn.XLOOKUP(R164&amp;S164,Daily_Totals[Day]&amp;Daily_Totals[Term],Daily_Totals[Instruction]))</f>
        <v>0</v>
      </c>
      <c r="U164" cm="1">
        <f t="array" ref="U164">IF(ISBLANK(K164),0,_xlfn.XLOOKUP(R164&amp;S164,Daily_Totals[Day]&amp;Daily_Totals[Term],Daily_Totals[Non-Instruction]))</f>
        <v>0</v>
      </c>
    </row>
    <row r="165" spans="3:21" x14ac:dyDescent="0.3">
      <c r="C165">
        <f t="shared" si="29"/>
        <v>11</v>
      </c>
      <c r="D165" s="37">
        <v>46360</v>
      </c>
      <c r="E165">
        <v>0</v>
      </c>
      <c r="F165">
        <f t="shared" si="25"/>
        <v>0</v>
      </c>
      <c r="K165" s="37"/>
      <c r="L165"/>
      <c r="N165" t="str">
        <f t="shared" si="27"/>
        <v/>
      </c>
      <c r="O165">
        <f t="shared" si="28"/>
        <v>0</v>
      </c>
      <c r="P165">
        <f>IF(IF(ISERROR(MATCH(K165,Rotation_Reset_Dates[Date],0)),0,1)=1,1,IF(ISBLANK(K165),"",IF(OR(rotationDays=1,K165&lt;First_Instructional_Day1),0,IF(AND(rotationDays&gt;1,K165=First_Instructional_Day1),1,IF(P164+IF(OR(N164="Instructional",N164="Not Scheduled"),1,0)&gt;rotationDays,1,P164+IF(OR(N164="Instructional",N164="Not Scheduled"),1,0))))))</f>
        <v>1</v>
      </c>
      <c r="Q165" t="str">
        <f t="shared" si="26"/>
        <v/>
      </c>
      <c r="R165" t="str">
        <f>IF(ISBLANK(K165),"",IF(N165="Operational (no students)",99,IF(N165="Instructional",IF(rotationDays=1,Q165,P165),_xlfn.XLOOKUP(N165,TimeTable_Codes[Description],TimeTable_Codes[TimetableCode]))))</f>
        <v/>
      </c>
      <c r="S165" t="str">
        <f>IF(NOT(ISBLANK(K165)),VLOOKUP(K165,term_lookups[],2),"")</f>
        <v/>
      </c>
      <c r="T165" cm="1">
        <f t="array" ref="T165">IF(ISBLANK(K165),0,_xlfn.XLOOKUP(R165&amp;S165,Daily_Totals[Day]&amp;Daily_Totals[Term],Daily_Totals[Instruction]))</f>
        <v>0</v>
      </c>
      <c r="U165" cm="1">
        <f t="array" ref="U165">IF(ISBLANK(K165),0,_xlfn.XLOOKUP(R165&amp;S165,Daily_Totals[Day]&amp;Daily_Totals[Term],Daily_Totals[Non-Instruction]))</f>
        <v>0</v>
      </c>
    </row>
    <row r="166" spans="3:21" x14ac:dyDescent="0.3">
      <c r="C166">
        <f t="shared" si="29"/>
        <v>11</v>
      </c>
      <c r="D166" s="37">
        <v>46361</v>
      </c>
      <c r="E166">
        <v>0</v>
      </c>
      <c r="F166">
        <f t="shared" si="25"/>
        <v>0</v>
      </c>
      <c r="K166" s="37"/>
      <c r="L166"/>
      <c r="N166" t="str">
        <f t="shared" si="27"/>
        <v/>
      </c>
      <c r="O166">
        <f t="shared" si="28"/>
        <v>0</v>
      </c>
      <c r="P166">
        <f>IF(IF(ISERROR(MATCH(K166,Rotation_Reset_Dates[Date],0)),0,1)=1,1,IF(ISBLANK(K166),"",IF(OR(rotationDays=1,K166&lt;First_Instructional_Day1),0,IF(AND(rotationDays&gt;1,K166=First_Instructional_Day1),1,IF(P165+IF(OR(N165="Instructional",N165="Not Scheduled"),1,0)&gt;rotationDays,1,P165+IF(OR(N165="Instructional",N165="Not Scheduled"),1,0))))))</f>
        <v>1</v>
      </c>
      <c r="Q166" t="str">
        <f t="shared" si="26"/>
        <v/>
      </c>
      <c r="R166" t="str">
        <f>IF(ISBLANK(K166),"",IF(N166="Operational (no students)",99,IF(N166="Instructional",IF(rotationDays=1,Q166,P166),_xlfn.XLOOKUP(N166,TimeTable_Codes[Description],TimeTable_Codes[TimetableCode]))))</f>
        <v/>
      </c>
      <c r="S166" t="str">
        <f>IF(NOT(ISBLANK(K166)),VLOOKUP(K166,term_lookups[],2),"")</f>
        <v/>
      </c>
      <c r="T166" cm="1">
        <f t="array" ref="T166">IF(ISBLANK(K166),0,_xlfn.XLOOKUP(R166&amp;S166,Daily_Totals[Day]&amp;Daily_Totals[Term],Daily_Totals[Instruction]))</f>
        <v>0</v>
      </c>
      <c r="U166" cm="1">
        <f t="array" ref="U166">IF(ISBLANK(K166),0,_xlfn.XLOOKUP(R166&amp;S166,Daily_Totals[Day]&amp;Daily_Totals[Term],Daily_Totals[Non-Instruction]))</f>
        <v>0</v>
      </c>
    </row>
    <row r="167" spans="3:21" x14ac:dyDescent="0.3">
      <c r="C167">
        <f t="shared" si="29"/>
        <v>11</v>
      </c>
      <c r="D167" s="37" cm="1">
        <f t="array" ref="D167:D168">TRANSPOSE(Calendar!B71:C71)</f>
        <v>46362</v>
      </c>
      <c r="E167" cm="1">
        <f t="array" ref="E167">TRANSPOSE(Calendar!B72:B72)</f>
        <v>0</v>
      </c>
      <c r="F167">
        <f t="shared" si="25"/>
        <v>0</v>
      </c>
      <c r="K167" s="37"/>
      <c r="L167"/>
      <c r="N167" t="str">
        <f t="shared" si="27"/>
        <v/>
      </c>
      <c r="O167">
        <f t="shared" si="28"/>
        <v>0</v>
      </c>
      <c r="P167">
        <f>IF(IF(ISERROR(MATCH(K167,Rotation_Reset_Dates[Date],0)),0,1)=1,1,IF(ISBLANK(K167),"",IF(OR(rotationDays=1,K167&lt;First_Instructional_Day1),0,IF(AND(rotationDays&gt;1,K167=First_Instructional_Day1),1,IF(P166+IF(OR(N166="Instructional",N166="Not Scheduled"),1,0)&gt;rotationDays,1,P166+IF(OR(N166="Instructional",N166="Not Scheduled"),1,0))))))</f>
        <v>1</v>
      </c>
      <c r="Q167" t="str">
        <f t="shared" si="26"/>
        <v/>
      </c>
      <c r="R167" t="str">
        <f>IF(ISBLANK(K167),"",IF(N167="Operational (no students)",99,IF(N167="Instructional",IF(rotationDays=1,Q167,P167),_xlfn.XLOOKUP(N167,TimeTable_Codes[Description],TimeTable_Codes[TimetableCode]))))</f>
        <v/>
      </c>
      <c r="S167" t="str">
        <f>IF(NOT(ISBLANK(K167)),VLOOKUP(K167,term_lookups[],2),"")</f>
        <v/>
      </c>
      <c r="T167" cm="1">
        <f t="array" ref="T167">IF(ISBLANK(K167),0,_xlfn.XLOOKUP(R167&amp;S167,Daily_Totals[Day]&amp;Daily_Totals[Term],Daily_Totals[Instruction]))</f>
        <v>0</v>
      </c>
      <c r="U167" cm="1">
        <f t="array" ref="U167">IF(ISBLANK(K167),0,_xlfn.XLOOKUP(R167&amp;S167,Daily_Totals[Day]&amp;Daily_Totals[Term],Daily_Totals[Non-Instruction]))</f>
        <v>0</v>
      </c>
    </row>
    <row r="168" spans="3:21" x14ac:dyDescent="0.3">
      <c r="C168">
        <f t="shared" si="29"/>
        <v>11</v>
      </c>
      <c r="D168" s="37">
        <v>46363</v>
      </c>
      <c r="E168"/>
      <c r="F168">
        <f t="shared" si="25"/>
        <v>0</v>
      </c>
      <c r="K168" s="37"/>
      <c r="L168"/>
      <c r="N168" t="str">
        <f t="shared" si="27"/>
        <v/>
      </c>
      <c r="O168">
        <f t="shared" si="28"/>
        <v>0</v>
      </c>
      <c r="P168">
        <f>IF(IF(ISERROR(MATCH(K168,Rotation_Reset_Dates[Date],0)),0,1)=1,1,IF(ISBLANK(K168),"",IF(OR(rotationDays=1,K168&lt;First_Instructional_Day1),0,IF(AND(rotationDays&gt;1,K168=First_Instructional_Day1),1,IF(P167+IF(OR(N167="Instructional",N167="Not Scheduled"),1,0)&gt;rotationDays,1,P167+IF(OR(N167="Instructional",N167="Not Scheduled"),1,0))))))</f>
        <v>1</v>
      </c>
      <c r="Q168" t="str">
        <f t="shared" si="26"/>
        <v/>
      </c>
      <c r="R168" t="str">
        <f>IF(ISBLANK(K168),"",IF(N168="Operational (no students)",99,IF(N168="Instructional",IF(rotationDays=1,Q168,P168),_xlfn.XLOOKUP(N168,TimeTable_Codes[Description],TimeTable_Codes[TimetableCode]))))</f>
        <v/>
      </c>
      <c r="S168" t="str">
        <f>IF(NOT(ISBLANK(K168)),VLOOKUP(K168,term_lookups[],2),"")</f>
        <v/>
      </c>
      <c r="T168" cm="1">
        <f t="array" ref="T168">IF(ISBLANK(K168),0,_xlfn.XLOOKUP(R168&amp;S168,Daily_Totals[Day]&amp;Daily_Totals[Term],Daily_Totals[Instruction]))</f>
        <v>0</v>
      </c>
      <c r="U168" cm="1">
        <f t="array" ref="U168">IF(ISBLANK(K168),0,_xlfn.XLOOKUP(R168&amp;S168,Daily_Totals[Day]&amp;Daily_Totals[Term],Daily_Totals[Non-Instruction]))</f>
        <v>0</v>
      </c>
    </row>
    <row r="169" spans="3:21" x14ac:dyDescent="0.3">
      <c r="C169">
        <f t="shared" si="29"/>
        <v>12</v>
      </c>
      <c r="D169" s="37" cm="1">
        <f t="array" ref="D169:D175">TRANSPOSE(Calendar!B77:H77)</f>
        <v>46355</v>
      </c>
      <c r="E169" cm="1">
        <f t="array" ref="E169:E175">TRANSPOSE(Calendar!B78:H78)</f>
        <v>0</v>
      </c>
      <c r="F169">
        <f t="shared" si="25"/>
        <v>0</v>
      </c>
      <c r="K169" s="37"/>
      <c r="L169"/>
      <c r="N169" t="str">
        <f t="shared" si="27"/>
        <v/>
      </c>
      <c r="O169">
        <f t="shared" si="28"/>
        <v>0</v>
      </c>
      <c r="P169">
        <f>IF(IF(ISERROR(MATCH(K169,Rotation_Reset_Dates[Date],0)),0,1)=1,1,IF(ISBLANK(K169),"",IF(OR(rotationDays=1,K169&lt;First_Instructional_Day1),0,IF(AND(rotationDays&gt;1,K169=First_Instructional_Day1),1,IF(P168+IF(OR(N168="Instructional",N168="Not Scheduled"),1,0)&gt;rotationDays,1,P168+IF(OR(N168="Instructional",N168="Not Scheduled"),1,0))))))</f>
        <v>1</v>
      </c>
      <c r="Q169" t="str">
        <f t="shared" si="26"/>
        <v/>
      </c>
      <c r="R169" t="str">
        <f>IF(ISBLANK(K169),"",IF(N169="Operational (no students)",99,IF(N169="Instructional",IF(rotationDays=1,Q169,P169),_xlfn.XLOOKUP(N169,TimeTable_Codes[Description],TimeTable_Codes[TimetableCode]))))</f>
        <v/>
      </c>
      <c r="S169" t="str">
        <f>IF(NOT(ISBLANK(K169)),VLOOKUP(K169,term_lookups[],2),"")</f>
        <v/>
      </c>
      <c r="T169" cm="1">
        <f t="array" ref="T169">IF(ISBLANK(K169),0,_xlfn.XLOOKUP(R169&amp;S169,Daily_Totals[Day]&amp;Daily_Totals[Term],Daily_Totals[Instruction]))</f>
        <v>0</v>
      </c>
      <c r="U169" cm="1">
        <f t="array" ref="U169">IF(ISBLANK(K169),0,_xlfn.XLOOKUP(R169&amp;S169,Daily_Totals[Day]&amp;Daily_Totals[Term],Daily_Totals[Non-Instruction]))</f>
        <v>0</v>
      </c>
    </row>
    <row r="170" spans="3:21" x14ac:dyDescent="0.3">
      <c r="C170">
        <f t="shared" si="29"/>
        <v>12</v>
      </c>
      <c r="D170" s="37">
        <v>46356</v>
      </c>
      <c r="E170">
        <v>0</v>
      </c>
      <c r="F170">
        <f t="shared" si="25"/>
        <v>0</v>
      </c>
      <c r="K170" s="37"/>
      <c r="L170"/>
      <c r="N170" t="str">
        <f t="shared" si="27"/>
        <v/>
      </c>
      <c r="O170">
        <f t="shared" si="28"/>
        <v>0</v>
      </c>
      <c r="P170">
        <f>IF(IF(ISERROR(MATCH(K170,Rotation_Reset_Dates[Date],0)),0,1)=1,1,IF(ISBLANK(K170),"",IF(OR(rotationDays=1,K170&lt;First_Instructional_Day1),0,IF(AND(rotationDays&gt;1,K170=First_Instructional_Day1),1,IF(P169+IF(OR(N169="Instructional",N169="Not Scheduled"),1,0)&gt;rotationDays,1,P169+IF(OR(N169="Instructional",N169="Not Scheduled"),1,0))))))</f>
        <v>1</v>
      </c>
      <c r="Q170" t="str">
        <f t="shared" si="26"/>
        <v/>
      </c>
      <c r="R170" t="str">
        <f>IF(ISBLANK(K170),"",IF(N170="Operational (no students)",99,IF(N170="Instructional",IF(rotationDays=1,Q170,P170),_xlfn.XLOOKUP(N170,TimeTable_Codes[Description],TimeTable_Codes[TimetableCode]))))</f>
        <v/>
      </c>
      <c r="S170" t="str">
        <f>IF(NOT(ISBLANK(K170)),VLOOKUP(K170,term_lookups[],2),"")</f>
        <v/>
      </c>
      <c r="T170" cm="1">
        <f t="array" ref="T170">IF(ISBLANK(K170),0,_xlfn.XLOOKUP(R170&amp;S170,Daily_Totals[Day]&amp;Daily_Totals[Term],Daily_Totals[Instruction]))</f>
        <v>0</v>
      </c>
      <c r="U170" cm="1">
        <f t="array" ref="U170">IF(ISBLANK(K170),0,_xlfn.XLOOKUP(R170&amp;S170,Daily_Totals[Day]&amp;Daily_Totals[Term],Daily_Totals[Non-Instruction]))</f>
        <v>0</v>
      </c>
    </row>
    <row r="171" spans="3:21" x14ac:dyDescent="0.3">
      <c r="C171">
        <f t="shared" si="29"/>
        <v>12</v>
      </c>
      <c r="D171" s="37">
        <v>46357</v>
      </c>
      <c r="E171">
        <v>0</v>
      </c>
      <c r="F171">
        <f t="shared" si="25"/>
        <v>0</v>
      </c>
      <c r="K171" s="37"/>
      <c r="L171"/>
      <c r="N171" t="str">
        <f t="shared" si="27"/>
        <v/>
      </c>
      <c r="O171">
        <f t="shared" si="28"/>
        <v>0</v>
      </c>
      <c r="P171">
        <f>IF(IF(ISERROR(MATCH(K171,Rotation_Reset_Dates[Date],0)),0,1)=1,1,IF(ISBLANK(K171),"",IF(OR(rotationDays=1,K171&lt;First_Instructional_Day1),0,IF(AND(rotationDays&gt;1,K171=First_Instructional_Day1),1,IF(P170+IF(OR(N170="Instructional",N170="Not Scheduled"),1,0)&gt;rotationDays,1,P170+IF(OR(N170="Instructional",N170="Not Scheduled"),1,0))))))</f>
        <v>1</v>
      </c>
      <c r="Q171" t="str">
        <f t="shared" si="26"/>
        <v/>
      </c>
      <c r="R171" t="str">
        <f>IF(ISBLANK(K171),"",IF(N171="Operational (no students)",99,IF(N171="Instructional",IF(rotationDays=1,Q171,P171),_xlfn.XLOOKUP(N171,TimeTable_Codes[Description],TimeTable_Codes[TimetableCode]))))</f>
        <v/>
      </c>
      <c r="S171" t="str">
        <f>IF(NOT(ISBLANK(K171)),VLOOKUP(K171,term_lookups[],2),"")</f>
        <v/>
      </c>
      <c r="T171" cm="1">
        <f t="array" ref="T171">IF(ISBLANK(K171),0,_xlfn.XLOOKUP(R171&amp;S171,Daily_Totals[Day]&amp;Daily_Totals[Term],Daily_Totals[Instruction]))</f>
        <v>0</v>
      </c>
      <c r="U171" cm="1">
        <f t="array" ref="U171">IF(ISBLANK(K171),0,_xlfn.XLOOKUP(R171&amp;S171,Daily_Totals[Day]&amp;Daily_Totals[Term],Daily_Totals[Non-Instruction]))</f>
        <v>0</v>
      </c>
    </row>
    <row r="172" spans="3:21" x14ac:dyDescent="0.3">
      <c r="C172">
        <f t="shared" si="29"/>
        <v>12</v>
      </c>
      <c r="D172" s="37">
        <v>46358</v>
      </c>
      <c r="E172">
        <v>0</v>
      </c>
      <c r="F172">
        <f t="shared" si="25"/>
        <v>0</v>
      </c>
      <c r="K172" s="37"/>
      <c r="L172"/>
      <c r="N172" t="str">
        <f t="shared" si="27"/>
        <v/>
      </c>
      <c r="O172">
        <f t="shared" si="28"/>
        <v>0</v>
      </c>
      <c r="P172">
        <f>IF(IF(ISERROR(MATCH(K172,Rotation_Reset_Dates[Date],0)),0,1)=1,1,IF(ISBLANK(K172),"",IF(OR(rotationDays=1,K172&lt;First_Instructional_Day1),0,IF(AND(rotationDays&gt;1,K172=First_Instructional_Day1),1,IF(P171+IF(OR(N171="Instructional",N171="Not Scheduled"),1,0)&gt;rotationDays,1,P171+IF(OR(N171="Instructional",N171="Not Scheduled"),1,0))))))</f>
        <v>1</v>
      </c>
      <c r="Q172" t="str">
        <f t="shared" si="26"/>
        <v/>
      </c>
      <c r="R172" t="str">
        <f>IF(ISBLANK(K172),"",IF(N172="Operational (no students)",99,IF(N172="Instructional",IF(rotationDays=1,Q172,P172),_xlfn.XLOOKUP(N172,TimeTable_Codes[Description],TimeTable_Codes[TimetableCode]))))</f>
        <v/>
      </c>
      <c r="S172" t="str">
        <f>IF(NOT(ISBLANK(K172)),VLOOKUP(K172,term_lookups[],2),"")</f>
        <v/>
      </c>
      <c r="T172" cm="1">
        <f t="array" ref="T172">IF(ISBLANK(K172),0,_xlfn.XLOOKUP(R172&amp;S172,Daily_Totals[Day]&amp;Daily_Totals[Term],Daily_Totals[Instruction]))</f>
        <v>0</v>
      </c>
      <c r="U172" cm="1">
        <f t="array" ref="U172">IF(ISBLANK(K172),0,_xlfn.XLOOKUP(R172&amp;S172,Daily_Totals[Day]&amp;Daily_Totals[Term],Daily_Totals[Non-Instruction]))</f>
        <v>0</v>
      </c>
    </row>
    <row r="173" spans="3:21" x14ac:dyDescent="0.3">
      <c r="C173">
        <f t="shared" si="29"/>
        <v>12</v>
      </c>
      <c r="D173" s="37">
        <v>46359</v>
      </c>
      <c r="E173">
        <v>0</v>
      </c>
      <c r="F173">
        <f t="shared" si="25"/>
        <v>0</v>
      </c>
      <c r="K173" s="37"/>
      <c r="L173"/>
      <c r="N173" t="str">
        <f t="shared" si="27"/>
        <v/>
      </c>
      <c r="O173">
        <f t="shared" si="28"/>
        <v>0</v>
      </c>
      <c r="P173">
        <f>IF(IF(ISERROR(MATCH(K173,Rotation_Reset_Dates[Date],0)),0,1)=1,1,IF(ISBLANK(K173),"",IF(OR(rotationDays=1,K173&lt;First_Instructional_Day1),0,IF(AND(rotationDays&gt;1,K173=First_Instructional_Day1),1,IF(P172+IF(OR(N172="Instructional",N172="Not Scheduled"),1,0)&gt;rotationDays,1,P172+IF(OR(N172="Instructional",N172="Not Scheduled"),1,0))))))</f>
        <v>1</v>
      </c>
      <c r="Q173" t="str">
        <f t="shared" si="26"/>
        <v/>
      </c>
      <c r="R173" t="str">
        <f>IF(ISBLANK(K173),"",IF(N173="Operational (no students)",99,IF(N173="Instructional",IF(rotationDays=1,Q173,P173),_xlfn.XLOOKUP(N173,TimeTable_Codes[Description],TimeTable_Codes[TimetableCode]))))</f>
        <v/>
      </c>
      <c r="S173" t="str">
        <f>IF(NOT(ISBLANK(K173)),VLOOKUP(K173,term_lookups[],2),"")</f>
        <v/>
      </c>
      <c r="T173" cm="1">
        <f t="array" ref="T173">IF(ISBLANK(K173),0,_xlfn.XLOOKUP(R173&amp;S173,Daily_Totals[Day]&amp;Daily_Totals[Term],Daily_Totals[Instruction]))</f>
        <v>0</v>
      </c>
      <c r="U173" cm="1">
        <f t="array" ref="U173">IF(ISBLANK(K173),0,_xlfn.XLOOKUP(R173&amp;S173,Daily_Totals[Day]&amp;Daily_Totals[Term],Daily_Totals[Non-Instruction]))</f>
        <v>0</v>
      </c>
    </row>
    <row r="174" spans="3:21" x14ac:dyDescent="0.3">
      <c r="C174">
        <f t="shared" si="29"/>
        <v>12</v>
      </c>
      <c r="D174" s="37">
        <v>46360</v>
      </c>
      <c r="E174">
        <v>0</v>
      </c>
      <c r="F174">
        <f t="shared" si="25"/>
        <v>0</v>
      </c>
      <c r="K174" s="37"/>
      <c r="L174"/>
      <c r="N174" t="str">
        <f t="shared" si="27"/>
        <v/>
      </c>
      <c r="O174">
        <f t="shared" si="28"/>
        <v>0</v>
      </c>
      <c r="P174">
        <f>IF(IF(ISERROR(MATCH(K174,Rotation_Reset_Dates[Date],0)),0,1)=1,1,IF(ISBLANK(K174),"",IF(OR(rotationDays=1,K174&lt;First_Instructional_Day1),0,IF(AND(rotationDays&gt;1,K174=First_Instructional_Day1),1,IF(P173+IF(OR(N173="Instructional",N173="Not Scheduled"),1,0)&gt;rotationDays,1,P173+IF(OR(N173="Instructional",N173="Not Scheduled"),1,0))))))</f>
        <v>1</v>
      </c>
      <c r="Q174" t="str">
        <f t="shared" si="26"/>
        <v/>
      </c>
      <c r="R174" t="str">
        <f>IF(ISBLANK(K174),"",IF(N174="Operational (no students)",99,IF(N174="Instructional",IF(rotationDays=1,Q174,P174),_xlfn.XLOOKUP(N174,TimeTable_Codes[Description],TimeTable_Codes[TimetableCode]))))</f>
        <v/>
      </c>
      <c r="S174" t="str">
        <f>IF(NOT(ISBLANK(K174)),VLOOKUP(K174,term_lookups[],2),"")</f>
        <v/>
      </c>
      <c r="T174" cm="1">
        <f t="array" ref="T174">IF(ISBLANK(K174),0,_xlfn.XLOOKUP(R174&amp;S174,Daily_Totals[Day]&amp;Daily_Totals[Term],Daily_Totals[Instruction]))</f>
        <v>0</v>
      </c>
      <c r="U174" cm="1">
        <f t="array" ref="U174">IF(ISBLANK(K174),0,_xlfn.XLOOKUP(R174&amp;S174,Daily_Totals[Day]&amp;Daily_Totals[Term],Daily_Totals[Non-Instruction]))</f>
        <v>0</v>
      </c>
    </row>
    <row r="175" spans="3:21" x14ac:dyDescent="0.3">
      <c r="C175">
        <f t="shared" si="29"/>
        <v>12</v>
      </c>
      <c r="D175" s="37">
        <v>46361</v>
      </c>
      <c r="E175">
        <v>0</v>
      </c>
      <c r="F175">
        <f t="shared" si="25"/>
        <v>0</v>
      </c>
      <c r="K175" s="37"/>
      <c r="L175"/>
      <c r="N175" t="str">
        <f t="shared" si="27"/>
        <v/>
      </c>
      <c r="O175">
        <f t="shared" si="28"/>
        <v>0</v>
      </c>
      <c r="P175">
        <f>IF(IF(ISERROR(MATCH(K175,Rotation_Reset_Dates[Date],0)),0,1)=1,1,IF(ISBLANK(K175),"",IF(OR(rotationDays=1,K175&lt;First_Instructional_Day1),0,IF(AND(rotationDays&gt;1,K175=First_Instructional_Day1),1,IF(P174+IF(OR(N174="Instructional",N174="Not Scheduled"),1,0)&gt;rotationDays,1,P174+IF(OR(N174="Instructional",N174="Not Scheduled"),1,0))))))</f>
        <v>1</v>
      </c>
      <c r="Q175" t="str">
        <f t="shared" si="26"/>
        <v/>
      </c>
      <c r="R175" t="str">
        <f>IF(ISBLANK(K175),"",IF(N175="Operational (no students)",99,IF(N175="Instructional",IF(rotationDays=1,Q175,P175),_xlfn.XLOOKUP(N175,TimeTable_Codes[Description],TimeTable_Codes[TimetableCode]))))</f>
        <v/>
      </c>
      <c r="S175" t="str">
        <f>IF(NOT(ISBLANK(K175)),VLOOKUP(K175,term_lookups[],2),"")</f>
        <v/>
      </c>
      <c r="T175" cm="1">
        <f t="array" ref="T175">IF(ISBLANK(K175),0,_xlfn.XLOOKUP(R175&amp;S175,Daily_Totals[Day]&amp;Daily_Totals[Term],Daily_Totals[Instruction]))</f>
        <v>0</v>
      </c>
      <c r="U175" cm="1">
        <f t="array" ref="U175">IF(ISBLANK(K175),0,_xlfn.XLOOKUP(R175&amp;S175,Daily_Totals[Day]&amp;Daily_Totals[Term],Daily_Totals[Non-Instruction]))</f>
        <v>0</v>
      </c>
    </row>
    <row r="176" spans="3:21" x14ac:dyDescent="0.3">
      <c r="C176">
        <f t="shared" si="29"/>
        <v>12</v>
      </c>
      <c r="D176" s="37" cm="1">
        <f t="array" ref="D176:D182">TRANSPOSE(Calendar!B79:H79)</f>
        <v>46362</v>
      </c>
      <c r="E176" cm="1">
        <f t="array" ref="E176:E182">TRANSPOSE(Calendar!B80:H80)</f>
        <v>0</v>
      </c>
      <c r="F176">
        <f t="shared" si="25"/>
        <v>0</v>
      </c>
      <c r="K176" s="37"/>
      <c r="L176"/>
      <c r="N176" t="str">
        <f t="shared" si="27"/>
        <v/>
      </c>
      <c r="O176">
        <f t="shared" si="28"/>
        <v>0</v>
      </c>
      <c r="P176">
        <f>IF(IF(ISERROR(MATCH(K176,Rotation_Reset_Dates[Date],0)),0,1)=1,1,IF(ISBLANK(K176),"",IF(OR(rotationDays=1,K176&lt;First_Instructional_Day1),0,IF(AND(rotationDays&gt;1,K176=First_Instructional_Day1),1,IF(P175+IF(OR(N175="Instructional",N175="Not Scheduled"),1,0)&gt;rotationDays,1,P175+IF(OR(N175="Instructional",N175="Not Scheduled"),1,0))))))</f>
        <v>1</v>
      </c>
      <c r="Q176" t="str">
        <f t="shared" si="26"/>
        <v/>
      </c>
      <c r="R176" t="str">
        <f>IF(ISBLANK(K176),"",IF(N176="Operational (no students)",99,IF(N176="Instructional",IF(rotationDays=1,Q176,P176),_xlfn.XLOOKUP(N176,TimeTable_Codes[Description],TimeTable_Codes[TimetableCode]))))</f>
        <v/>
      </c>
      <c r="S176" t="str">
        <f>IF(NOT(ISBLANK(K176)),VLOOKUP(K176,term_lookups[],2),"")</f>
        <v/>
      </c>
      <c r="T176" cm="1">
        <f t="array" ref="T176">IF(ISBLANK(K176),0,_xlfn.XLOOKUP(R176&amp;S176,Daily_Totals[Day]&amp;Daily_Totals[Term],Daily_Totals[Instruction]))</f>
        <v>0</v>
      </c>
      <c r="U176" cm="1">
        <f t="array" ref="U176">IF(ISBLANK(K176),0,_xlfn.XLOOKUP(R176&amp;S176,Daily_Totals[Day]&amp;Daily_Totals[Term],Daily_Totals[Non-Instruction]))</f>
        <v>0</v>
      </c>
    </row>
    <row r="177" spans="3:21" x14ac:dyDescent="0.3">
      <c r="C177">
        <f t="shared" si="29"/>
        <v>12</v>
      </c>
      <c r="D177" s="37">
        <v>46363</v>
      </c>
      <c r="E177">
        <v>0</v>
      </c>
      <c r="F177">
        <f t="shared" si="25"/>
        <v>0</v>
      </c>
      <c r="K177" s="37"/>
      <c r="L177"/>
      <c r="N177" t="str">
        <f t="shared" si="27"/>
        <v/>
      </c>
      <c r="O177">
        <f t="shared" si="28"/>
        <v>0</v>
      </c>
      <c r="P177">
        <f>IF(IF(ISERROR(MATCH(K177,Rotation_Reset_Dates[Date],0)),0,1)=1,1,IF(ISBLANK(K177),"",IF(OR(rotationDays=1,K177&lt;First_Instructional_Day1),0,IF(AND(rotationDays&gt;1,K177=First_Instructional_Day1),1,IF(P176+IF(OR(N176="Instructional",N176="Not Scheduled"),1,0)&gt;rotationDays,1,P176+IF(OR(N176="Instructional",N176="Not Scheduled"),1,0))))))</f>
        <v>1</v>
      </c>
      <c r="Q177" t="str">
        <f t="shared" si="26"/>
        <v/>
      </c>
      <c r="R177" t="str">
        <f>IF(ISBLANK(K177),"",IF(N177="Operational (no students)",99,IF(N177="Instructional",IF(rotationDays=1,Q177,P177),_xlfn.XLOOKUP(N177,TimeTable_Codes[Description],TimeTable_Codes[TimetableCode]))))</f>
        <v/>
      </c>
      <c r="S177" t="str">
        <f>IF(NOT(ISBLANK(K177)),VLOOKUP(K177,term_lookups[],2),"")</f>
        <v/>
      </c>
      <c r="T177" cm="1">
        <f t="array" ref="T177">IF(ISBLANK(K177),0,_xlfn.XLOOKUP(R177&amp;S177,Daily_Totals[Day]&amp;Daily_Totals[Term],Daily_Totals[Instruction]))</f>
        <v>0</v>
      </c>
      <c r="U177" cm="1">
        <f t="array" ref="U177">IF(ISBLANK(K177),0,_xlfn.XLOOKUP(R177&amp;S177,Daily_Totals[Day]&amp;Daily_Totals[Term],Daily_Totals[Non-Instruction]))</f>
        <v>0</v>
      </c>
    </row>
    <row r="178" spans="3:21" x14ac:dyDescent="0.3">
      <c r="C178">
        <f t="shared" si="29"/>
        <v>12</v>
      </c>
      <c r="D178" s="37">
        <v>46364</v>
      </c>
      <c r="E178">
        <v>0</v>
      </c>
      <c r="F178">
        <f t="shared" si="25"/>
        <v>0</v>
      </c>
      <c r="K178" s="37"/>
      <c r="L178"/>
      <c r="N178" t="str">
        <f t="shared" si="27"/>
        <v/>
      </c>
      <c r="O178">
        <f t="shared" si="28"/>
        <v>0</v>
      </c>
      <c r="P178">
        <f>IF(IF(ISERROR(MATCH(K178,Rotation_Reset_Dates[Date],0)),0,1)=1,1,IF(ISBLANK(K178),"",IF(OR(rotationDays=1,K178&lt;First_Instructional_Day1),0,IF(AND(rotationDays&gt;1,K178=First_Instructional_Day1),1,IF(P177+IF(OR(N177="Instructional",N177="Not Scheduled"),1,0)&gt;rotationDays,1,P177+IF(OR(N177="Instructional",N177="Not Scheduled"),1,0))))))</f>
        <v>1</v>
      </c>
      <c r="Q178" t="str">
        <f t="shared" si="26"/>
        <v/>
      </c>
      <c r="R178" t="str">
        <f>IF(ISBLANK(K178),"",IF(N178="Operational (no students)",99,IF(N178="Instructional",IF(rotationDays=1,Q178,P178),_xlfn.XLOOKUP(N178,TimeTable_Codes[Description],TimeTable_Codes[TimetableCode]))))</f>
        <v/>
      </c>
      <c r="S178" t="str">
        <f>IF(NOT(ISBLANK(K178)),VLOOKUP(K178,term_lookups[],2),"")</f>
        <v/>
      </c>
      <c r="T178" cm="1">
        <f t="array" ref="T178">IF(ISBLANK(K178),0,_xlfn.XLOOKUP(R178&amp;S178,Daily_Totals[Day]&amp;Daily_Totals[Term],Daily_Totals[Instruction]))</f>
        <v>0</v>
      </c>
      <c r="U178" cm="1">
        <f t="array" ref="U178">IF(ISBLANK(K178),0,_xlfn.XLOOKUP(R178&amp;S178,Daily_Totals[Day]&amp;Daily_Totals[Term],Daily_Totals[Non-Instruction]))</f>
        <v>0</v>
      </c>
    </row>
    <row r="179" spans="3:21" x14ac:dyDescent="0.3">
      <c r="C179">
        <f t="shared" si="29"/>
        <v>12</v>
      </c>
      <c r="D179" s="37">
        <v>46365</v>
      </c>
      <c r="E179">
        <v>0</v>
      </c>
      <c r="F179">
        <f t="shared" si="25"/>
        <v>0</v>
      </c>
      <c r="K179" s="37"/>
      <c r="L179"/>
      <c r="N179" t="str">
        <f t="shared" si="27"/>
        <v/>
      </c>
      <c r="O179">
        <f t="shared" si="28"/>
        <v>0</v>
      </c>
      <c r="P179">
        <f>IF(IF(ISERROR(MATCH(K179,Rotation_Reset_Dates[Date],0)),0,1)=1,1,IF(ISBLANK(K179),"",IF(OR(rotationDays=1,K179&lt;First_Instructional_Day1),0,IF(AND(rotationDays&gt;1,K179=First_Instructional_Day1),1,IF(P178+IF(OR(N178="Instructional",N178="Not Scheduled"),1,0)&gt;rotationDays,1,P178+IF(OR(N178="Instructional",N178="Not Scheduled"),1,0))))))</f>
        <v>1</v>
      </c>
      <c r="Q179" t="str">
        <f t="shared" si="26"/>
        <v/>
      </c>
      <c r="R179" t="str">
        <f>IF(ISBLANK(K179),"",IF(N179="Operational (no students)",99,IF(N179="Instructional",IF(rotationDays=1,Q179,P179),_xlfn.XLOOKUP(N179,TimeTable_Codes[Description],TimeTable_Codes[TimetableCode]))))</f>
        <v/>
      </c>
      <c r="S179" t="str">
        <f>IF(NOT(ISBLANK(K179)),VLOOKUP(K179,term_lookups[],2),"")</f>
        <v/>
      </c>
      <c r="T179" cm="1">
        <f t="array" ref="T179">IF(ISBLANK(K179),0,_xlfn.XLOOKUP(R179&amp;S179,Daily_Totals[Day]&amp;Daily_Totals[Term],Daily_Totals[Instruction]))</f>
        <v>0</v>
      </c>
      <c r="U179" cm="1">
        <f t="array" ref="U179">IF(ISBLANK(K179),0,_xlfn.XLOOKUP(R179&amp;S179,Daily_Totals[Day]&amp;Daily_Totals[Term],Daily_Totals[Non-Instruction]))</f>
        <v>0</v>
      </c>
    </row>
    <row r="180" spans="3:21" x14ac:dyDescent="0.3">
      <c r="C180">
        <f t="shared" si="29"/>
        <v>12</v>
      </c>
      <c r="D180" s="37">
        <v>46366</v>
      </c>
      <c r="E180">
        <v>0</v>
      </c>
      <c r="F180">
        <f t="shared" si="25"/>
        <v>0</v>
      </c>
      <c r="K180" s="37"/>
      <c r="L180"/>
      <c r="N180" t="str">
        <f t="shared" si="27"/>
        <v/>
      </c>
      <c r="O180">
        <f t="shared" si="28"/>
        <v>0</v>
      </c>
      <c r="P180">
        <f>IF(IF(ISERROR(MATCH(K180,Rotation_Reset_Dates[Date],0)),0,1)=1,1,IF(ISBLANK(K180),"",IF(OR(rotationDays=1,K180&lt;First_Instructional_Day1),0,IF(AND(rotationDays&gt;1,K180=First_Instructional_Day1),1,IF(P179+IF(OR(N179="Instructional",N179="Not Scheduled"),1,0)&gt;rotationDays,1,P179+IF(OR(N179="Instructional",N179="Not Scheduled"),1,0))))))</f>
        <v>1</v>
      </c>
      <c r="Q180" t="str">
        <f t="shared" si="26"/>
        <v/>
      </c>
      <c r="R180" t="str">
        <f>IF(ISBLANK(K180),"",IF(N180="Operational (no students)",99,IF(N180="Instructional",IF(rotationDays=1,Q180,P180),_xlfn.XLOOKUP(N180,TimeTable_Codes[Description],TimeTable_Codes[TimetableCode]))))</f>
        <v/>
      </c>
      <c r="S180" t="str">
        <f>IF(NOT(ISBLANK(K180)),VLOOKUP(K180,term_lookups[],2),"")</f>
        <v/>
      </c>
      <c r="T180" cm="1">
        <f t="array" ref="T180">IF(ISBLANK(K180),0,_xlfn.XLOOKUP(R180&amp;S180,Daily_Totals[Day]&amp;Daily_Totals[Term],Daily_Totals[Instruction]))</f>
        <v>0</v>
      </c>
      <c r="U180" cm="1">
        <f t="array" ref="U180">IF(ISBLANK(K180),0,_xlfn.XLOOKUP(R180&amp;S180,Daily_Totals[Day]&amp;Daily_Totals[Term],Daily_Totals[Non-Instruction]))</f>
        <v>0</v>
      </c>
    </row>
    <row r="181" spans="3:21" x14ac:dyDescent="0.3">
      <c r="C181">
        <f t="shared" si="29"/>
        <v>12</v>
      </c>
      <c r="D181" s="37">
        <v>46367</v>
      </c>
      <c r="E181">
        <v>0</v>
      </c>
      <c r="F181">
        <f t="shared" si="25"/>
        <v>0</v>
      </c>
      <c r="K181" s="37"/>
      <c r="L181"/>
      <c r="N181" t="str">
        <f t="shared" si="27"/>
        <v/>
      </c>
      <c r="O181">
        <f t="shared" si="28"/>
        <v>0</v>
      </c>
      <c r="P181">
        <f>IF(IF(ISERROR(MATCH(K181,Rotation_Reset_Dates[Date],0)),0,1)=1,1,IF(ISBLANK(K181),"",IF(OR(rotationDays=1,K181&lt;First_Instructional_Day1),0,IF(AND(rotationDays&gt;1,K181=First_Instructional_Day1),1,IF(P180+IF(OR(N180="Instructional",N180="Not Scheduled"),1,0)&gt;rotationDays,1,P180+IF(OR(N180="Instructional",N180="Not Scheduled"),1,0))))))</f>
        <v>1</v>
      </c>
      <c r="Q181" t="str">
        <f t="shared" si="26"/>
        <v/>
      </c>
      <c r="R181" t="str">
        <f>IF(ISBLANK(K181),"",IF(N181="Operational (no students)",99,IF(N181="Instructional",IF(rotationDays=1,Q181,P181),_xlfn.XLOOKUP(N181,TimeTable_Codes[Description],TimeTable_Codes[TimetableCode]))))</f>
        <v/>
      </c>
      <c r="S181" t="str">
        <f>IF(NOT(ISBLANK(K181)),VLOOKUP(K181,term_lookups[],2),"")</f>
        <v/>
      </c>
      <c r="T181" cm="1">
        <f t="array" ref="T181">IF(ISBLANK(K181),0,_xlfn.XLOOKUP(R181&amp;S181,Daily_Totals[Day]&amp;Daily_Totals[Term],Daily_Totals[Instruction]))</f>
        <v>0</v>
      </c>
      <c r="U181" cm="1">
        <f t="array" ref="U181">IF(ISBLANK(K181),0,_xlfn.XLOOKUP(R181&amp;S181,Daily_Totals[Day]&amp;Daily_Totals[Term],Daily_Totals[Non-Instruction]))</f>
        <v>0</v>
      </c>
    </row>
    <row r="182" spans="3:21" x14ac:dyDescent="0.3">
      <c r="C182">
        <f t="shared" si="29"/>
        <v>12</v>
      </c>
      <c r="D182" s="37">
        <v>46368</v>
      </c>
      <c r="E182">
        <v>0</v>
      </c>
      <c r="F182">
        <f t="shared" si="25"/>
        <v>0</v>
      </c>
      <c r="K182" s="37"/>
      <c r="L182"/>
      <c r="N182" t="str">
        <f t="shared" si="27"/>
        <v/>
      </c>
      <c r="O182">
        <f t="shared" si="28"/>
        <v>0</v>
      </c>
      <c r="P182">
        <f>IF(IF(ISERROR(MATCH(K182,Rotation_Reset_Dates[Date],0)),0,1)=1,1,IF(ISBLANK(K182),"",IF(OR(rotationDays=1,K182&lt;First_Instructional_Day1),0,IF(AND(rotationDays&gt;1,K182=First_Instructional_Day1),1,IF(P181+IF(OR(N181="Instructional",N181="Not Scheduled"),1,0)&gt;rotationDays,1,P181+IF(OR(N181="Instructional",N181="Not Scheduled"),1,0))))))</f>
        <v>1</v>
      </c>
      <c r="Q182" t="str">
        <f t="shared" si="26"/>
        <v/>
      </c>
      <c r="R182" t="str">
        <f>IF(ISBLANK(K182),"",IF(N182="Operational (no students)",99,IF(N182="Instructional",IF(rotationDays=1,Q182,P182),_xlfn.XLOOKUP(N182,TimeTable_Codes[Description],TimeTable_Codes[TimetableCode]))))</f>
        <v/>
      </c>
      <c r="S182" t="str">
        <f>IF(NOT(ISBLANK(K182)),VLOOKUP(K182,term_lookups[],2),"")</f>
        <v/>
      </c>
      <c r="T182" cm="1">
        <f t="array" ref="T182">IF(ISBLANK(K182),0,_xlfn.XLOOKUP(R182&amp;S182,Daily_Totals[Day]&amp;Daily_Totals[Term],Daily_Totals[Instruction]))</f>
        <v>0</v>
      </c>
      <c r="U182" cm="1">
        <f t="array" ref="U182">IF(ISBLANK(K182),0,_xlfn.XLOOKUP(R182&amp;S182,Daily_Totals[Day]&amp;Daily_Totals[Term],Daily_Totals[Non-Instruction]))</f>
        <v>0</v>
      </c>
    </row>
    <row r="183" spans="3:21" x14ac:dyDescent="0.3">
      <c r="C183">
        <f t="shared" si="29"/>
        <v>12</v>
      </c>
      <c r="D183" s="37" cm="1">
        <f t="array" ref="D183:D189">TRANSPOSE(Calendar!B81:H81)</f>
        <v>46369</v>
      </c>
      <c r="E183" cm="1">
        <f t="array" ref="E183:E189">TRANSPOSE(Calendar!B82:H82)</f>
        <v>0</v>
      </c>
      <c r="F183">
        <f t="shared" si="25"/>
        <v>0</v>
      </c>
      <c r="K183" s="37"/>
      <c r="L183"/>
      <c r="N183" t="str">
        <f t="shared" si="27"/>
        <v/>
      </c>
      <c r="O183">
        <f t="shared" si="28"/>
        <v>0</v>
      </c>
      <c r="P183">
        <f>IF(IF(ISERROR(MATCH(K183,Rotation_Reset_Dates[Date],0)),0,1)=1,1,IF(ISBLANK(K183),"",IF(OR(rotationDays=1,K183&lt;First_Instructional_Day1),0,IF(AND(rotationDays&gt;1,K183=First_Instructional_Day1),1,IF(P182+IF(OR(N182="Instructional",N182="Not Scheduled"),1,0)&gt;rotationDays,1,P182+IF(OR(N182="Instructional",N182="Not Scheduled"),1,0))))))</f>
        <v>1</v>
      </c>
      <c r="Q183" t="str">
        <f t="shared" si="26"/>
        <v/>
      </c>
      <c r="R183" t="str">
        <f>IF(ISBLANK(K183),"",IF(N183="Operational (no students)",99,IF(N183="Instructional",IF(rotationDays=1,Q183,P183),_xlfn.XLOOKUP(N183,TimeTable_Codes[Description],TimeTable_Codes[TimetableCode]))))</f>
        <v/>
      </c>
      <c r="S183" t="str">
        <f>IF(NOT(ISBLANK(K183)),VLOOKUP(K183,term_lookups[],2),"")</f>
        <v/>
      </c>
      <c r="T183" cm="1">
        <f t="array" ref="T183">IF(ISBLANK(K183),0,_xlfn.XLOOKUP(R183&amp;S183,Daily_Totals[Day]&amp;Daily_Totals[Term],Daily_Totals[Instruction]))</f>
        <v>0</v>
      </c>
      <c r="U183" cm="1">
        <f t="array" ref="U183">IF(ISBLANK(K183),0,_xlfn.XLOOKUP(R183&amp;S183,Daily_Totals[Day]&amp;Daily_Totals[Term],Daily_Totals[Non-Instruction]))</f>
        <v>0</v>
      </c>
    </row>
    <row r="184" spans="3:21" x14ac:dyDescent="0.3">
      <c r="C184">
        <f t="shared" si="29"/>
        <v>12</v>
      </c>
      <c r="D184" s="37">
        <v>46370</v>
      </c>
      <c r="E184">
        <v>0</v>
      </c>
      <c r="F184">
        <f t="shared" si="25"/>
        <v>0</v>
      </c>
      <c r="K184" s="37"/>
      <c r="L184"/>
      <c r="N184" t="str">
        <f t="shared" si="27"/>
        <v/>
      </c>
      <c r="O184">
        <f t="shared" si="28"/>
        <v>0</v>
      </c>
      <c r="P184">
        <f>IF(IF(ISERROR(MATCH(K184,Rotation_Reset_Dates[Date],0)),0,1)=1,1,IF(ISBLANK(K184),"",IF(OR(rotationDays=1,K184&lt;First_Instructional_Day1),0,IF(AND(rotationDays&gt;1,K184=First_Instructional_Day1),1,IF(P183+IF(OR(N183="Instructional",N183="Not Scheduled"),1,0)&gt;rotationDays,1,P183+IF(OR(N183="Instructional",N183="Not Scheduled"),1,0))))))</f>
        <v>1</v>
      </c>
      <c r="Q184" t="str">
        <f t="shared" si="26"/>
        <v/>
      </c>
      <c r="R184" t="str">
        <f>IF(ISBLANK(K184),"",IF(N184="Operational (no students)",99,IF(N184="Instructional",IF(rotationDays=1,Q184,P184),_xlfn.XLOOKUP(N184,TimeTable_Codes[Description],TimeTable_Codes[TimetableCode]))))</f>
        <v/>
      </c>
      <c r="S184" t="str">
        <f>IF(NOT(ISBLANK(K184)),VLOOKUP(K184,term_lookups[],2),"")</f>
        <v/>
      </c>
      <c r="T184" cm="1">
        <f t="array" ref="T184">IF(ISBLANK(K184),0,_xlfn.XLOOKUP(R184&amp;S184,Daily_Totals[Day]&amp;Daily_Totals[Term],Daily_Totals[Instruction]))</f>
        <v>0</v>
      </c>
      <c r="U184" cm="1">
        <f t="array" ref="U184">IF(ISBLANK(K184),0,_xlfn.XLOOKUP(R184&amp;S184,Daily_Totals[Day]&amp;Daily_Totals[Term],Daily_Totals[Non-Instruction]))</f>
        <v>0</v>
      </c>
    </row>
    <row r="185" spans="3:21" x14ac:dyDescent="0.3">
      <c r="C185">
        <f t="shared" si="29"/>
        <v>12</v>
      </c>
      <c r="D185" s="37">
        <v>46371</v>
      </c>
      <c r="E185">
        <v>0</v>
      </c>
      <c r="F185">
        <f t="shared" si="25"/>
        <v>0</v>
      </c>
      <c r="K185" s="37"/>
      <c r="L185"/>
      <c r="N185" t="str">
        <f t="shared" si="27"/>
        <v/>
      </c>
      <c r="O185">
        <f t="shared" si="28"/>
        <v>0</v>
      </c>
      <c r="P185">
        <f>IF(IF(ISERROR(MATCH(K185,Rotation_Reset_Dates[Date],0)),0,1)=1,1,IF(ISBLANK(K185),"",IF(OR(rotationDays=1,K185&lt;First_Instructional_Day1),0,IF(AND(rotationDays&gt;1,K185=First_Instructional_Day1),1,IF(P184+IF(OR(N184="Instructional",N184="Not Scheduled"),1,0)&gt;rotationDays,1,P184+IF(OR(N184="Instructional",N184="Not Scheduled"),1,0))))))</f>
        <v>1</v>
      </c>
      <c r="Q185" t="str">
        <f t="shared" si="26"/>
        <v/>
      </c>
      <c r="R185" t="str">
        <f>IF(ISBLANK(K185),"",IF(N185="Operational (no students)",99,IF(N185="Instructional",IF(rotationDays=1,Q185,P185),_xlfn.XLOOKUP(N185,TimeTable_Codes[Description],TimeTable_Codes[TimetableCode]))))</f>
        <v/>
      </c>
      <c r="S185" t="str">
        <f>IF(NOT(ISBLANK(K185)),VLOOKUP(K185,term_lookups[],2),"")</f>
        <v/>
      </c>
      <c r="T185" cm="1">
        <f t="array" ref="T185">IF(ISBLANK(K185),0,_xlfn.XLOOKUP(R185&amp;S185,Daily_Totals[Day]&amp;Daily_Totals[Term],Daily_Totals[Instruction]))</f>
        <v>0</v>
      </c>
      <c r="U185" cm="1">
        <f t="array" ref="U185">IF(ISBLANK(K185),0,_xlfn.XLOOKUP(R185&amp;S185,Daily_Totals[Day]&amp;Daily_Totals[Term],Daily_Totals[Non-Instruction]))</f>
        <v>0</v>
      </c>
    </row>
    <row r="186" spans="3:21" x14ac:dyDescent="0.3">
      <c r="C186">
        <f t="shared" si="29"/>
        <v>12</v>
      </c>
      <c r="D186" s="37">
        <v>46372</v>
      </c>
      <c r="E186">
        <v>0</v>
      </c>
      <c r="F186">
        <f t="shared" si="25"/>
        <v>0</v>
      </c>
      <c r="K186" s="37"/>
      <c r="L186"/>
      <c r="N186" t="str">
        <f t="shared" si="27"/>
        <v/>
      </c>
      <c r="O186">
        <f t="shared" si="28"/>
        <v>0</v>
      </c>
      <c r="P186">
        <f>IF(IF(ISERROR(MATCH(K186,Rotation_Reset_Dates[Date],0)),0,1)=1,1,IF(ISBLANK(K186),"",IF(OR(rotationDays=1,K186&lt;First_Instructional_Day1),0,IF(AND(rotationDays&gt;1,K186=First_Instructional_Day1),1,IF(P185+IF(OR(N185="Instructional",N185="Not Scheduled"),1,0)&gt;rotationDays,1,P185+IF(OR(N185="Instructional",N185="Not Scheduled"),1,0))))))</f>
        <v>1</v>
      </c>
      <c r="Q186" t="str">
        <f t="shared" si="26"/>
        <v/>
      </c>
      <c r="R186" t="str">
        <f>IF(ISBLANK(K186),"",IF(N186="Operational (no students)",99,IF(N186="Instructional",IF(rotationDays=1,Q186,P186),_xlfn.XLOOKUP(N186,TimeTable_Codes[Description],TimeTable_Codes[TimetableCode]))))</f>
        <v/>
      </c>
      <c r="S186" t="str">
        <f>IF(NOT(ISBLANK(K186)),VLOOKUP(K186,term_lookups[],2),"")</f>
        <v/>
      </c>
      <c r="T186" cm="1">
        <f t="array" ref="T186">IF(ISBLANK(K186),0,_xlfn.XLOOKUP(R186&amp;S186,Daily_Totals[Day]&amp;Daily_Totals[Term],Daily_Totals[Instruction]))</f>
        <v>0</v>
      </c>
      <c r="U186" cm="1">
        <f t="array" ref="U186">IF(ISBLANK(K186),0,_xlfn.XLOOKUP(R186&amp;S186,Daily_Totals[Day]&amp;Daily_Totals[Term],Daily_Totals[Non-Instruction]))</f>
        <v>0</v>
      </c>
    </row>
    <row r="187" spans="3:21" x14ac:dyDescent="0.3">
      <c r="C187">
        <f t="shared" si="29"/>
        <v>12</v>
      </c>
      <c r="D187" s="37">
        <v>46373</v>
      </c>
      <c r="E187">
        <v>0</v>
      </c>
      <c r="F187">
        <f t="shared" si="25"/>
        <v>0</v>
      </c>
      <c r="K187" s="37"/>
      <c r="L187"/>
      <c r="N187" t="str">
        <f t="shared" si="27"/>
        <v/>
      </c>
      <c r="O187">
        <f t="shared" si="28"/>
        <v>0</v>
      </c>
      <c r="P187">
        <f>IF(IF(ISERROR(MATCH(K187,Rotation_Reset_Dates[Date],0)),0,1)=1,1,IF(ISBLANK(K187),"",IF(OR(rotationDays=1,K187&lt;First_Instructional_Day1),0,IF(AND(rotationDays&gt;1,K187=First_Instructional_Day1),1,IF(P186+IF(OR(N186="Instructional",N186="Not Scheduled"),1,0)&gt;rotationDays,1,P186+IF(OR(N186="Instructional",N186="Not Scheduled"),1,0))))))</f>
        <v>1</v>
      </c>
      <c r="Q187" t="str">
        <f t="shared" si="26"/>
        <v/>
      </c>
      <c r="R187" t="str">
        <f>IF(ISBLANK(K187),"",IF(N187="Operational (no students)",99,IF(N187="Instructional",IF(rotationDays=1,Q187,P187),_xlfn.XLOOKUP(N187,TimeTable_Codes[Description],TimeTable_Codes[TimetableCode]))))</f>
        <v/>
      </c>
      <c r="S187" t="str">
        <f>IF(NOT(ISBLANK(K187)),VLOOKUP(K187,term_lookups[],2),"")</f>
        <v/>
      </c>
      <c r="T187" cm="1">
        <f t="array" ref="T187">IF(ISBLANK(K187),0,_xlfn.XLOOKUP(R187&amp;S187,Daily_Totals[Day]&amp;Daily_Totals[Term],Daily_Totals[Instruction]))</f>
        <v>0</v>
      </c>
      <c r="U187" cm="1">
        <f t="array" ref="U187">IF(ISBLANK(K187),0,_xlfn.XLOOKUP(R187&amp;S187,Daily_Totals[Day]&amp;Daily_Totals[Term],Daily_Totals[Non-Instruction]))</f>
        <v>0</v>
      </c>
    </row>
    <row r="188" spans="3:21" x14ac:dyDescent="0.3">
      <c r="C188">
        <f t="shared" si="29"/>
        <v>12</v>
      </c>
      <c r="D188" s="37">
        <v>46374</v>
      </c>
      <c r="E188">
        <v>0</v>
      </c>
      <c r="F188">
        <f t="shared" si="25"/>
        <v>0</v>
      </c>
      <c r="K188" s="37"/>
      <c r="L188"/>
      <c r="N188" t="str">
        <f t="shared" si="27"/>
        <v/>
      </c>
      <c r="O188">
        <f t="shared" si="28"/>
        <v>0</v>
      </c>
      <c r="P188">
        <f>IF(IF(ISERROR(MATCH(K188,Rotation_Reset_Dates[Date],0)),0,1)=1,1,IF(ISBLANK(K188),"",IF(OR(rotationDays=1,K188&lt;First_Instructional_Day1),0,IF(AND(rotationDays&gt;1,K188=First_Instructional_Day1),1,IF(P187+IF(OR(N187="Instructional",N187="Not Scheduled"),1,0)&gt;rotationDays,1,P187+IF(OR(N187="Instructional",N187="Not Scheduled"),1,0))))))</f>
        <v>1</v>
      </c>
      <c r="Q188" t="str">
        <f t="shared" si="26"/>
        <v/>
      </c>
      <c r="R188" t="str">
        <f>IF(ISBLANK(K188),"",IF(N188="Operational (no students)",99,IF(N188="Instructional",IF(rotationDays=1,Q188,P188),_xlfn.XLOOKUP(N188,TimeTable_Codes[Description],TimeTable_Codes[TimetableCode]))))</f>
        <v/>
      </c>
      <c r="S188" t="str">
        <f>IF(NOT(ISBLANK(K188)),VLOOKUP(K188,term_lookups[],2),"")</f>
        <v/>
      </c>
      <c r="T188" cm="1">
        <f t="array" ref="T188">IF(ISBLANK(K188),0,_xlfn.XLOOKUP(R188&amp;S188,Daily_Totals[Day]&amp;Daily_Totals[Term],Daily_Totals[Instruction]))</f>
        <v>0</v>
      </c>
      <c r="U188" cm="1">
        <f t="array" ref="U188">IF(ISBLANK(K188),0,_xlfn.XLOOKUP(R188&amp;S188,Daily_Totals[Day]&amp;Daily_Totals[Term],Daily_Totals[Non-Instruction]))</f>
        <v>0</v>
      </c>
    </row>
    <row r="189" spans="3:21" x14ac:dyDescent="0.3">
      <c r="C189">
        <f t="shared" si="29"/>
        <v>12</v>
      </c>
      <c r="D189" s="37">
        <v>46375</v>
      </c>
      <c r="E189">
        <v>0</v>
      </c>
      <c r="F189">
        <f t="shared" si="25"/>
        <v>0</v>
      </c>
      <c r="K189" s="37"/>
      <c r="L189"/>
      <c r="N189" t="str">
        <f t="shared" si="27"/>
        <v/>
      </c>
      <c r="O189">
        <f t="shared" si="28"/>
        <v>0</v>
      </c>
      <c r="P189">
        <f>IF(IF(ISERROR(MATCH(K189,Rotation_Reset_Dates[Date],0)),0,1)=1,1,IF(ISBLANK(K189),"",IF(OR(rotationDays=1,K189&lt;First_Instructional_Day1),0,IF(AND(rotationDays&gt;1,K189=First_Instructional_Day1),1,IF(P188+IF(OR(N188="Instructional",N188="Not Scheduled"),1,0)&gt;rotationDays,1,P188+IF(OR(N188="Instructional",N188="Not Scheduled"),1,0))))))</f>
        <v>1</v>
      </c>
      <c r="Q189" t="str">
        <f t="shared" si="26"/>
        <v/>
      </c>
      <c r="R189" t="str">
        <f>IF(ISBLANK(K189),"",IF(N189="Operational (no students)",99,IF(N189="Instructional",IF(rotationDays=1,Q189,P189),_xlfn.XLOOKUP(N189,TimeTable_Codes[Description],TimeTable_Codes[TimetableCode]))))</f>
        <v/>
      </c>
      <c r="S189" t="str">
        <f>IF(NOT(ISBLANK(K189)),VLOOKUP(K189,term_lookups[],2),"")</f>
        <v/>
      </c>
      <c r="T189" cm="1">
        <f t="array" ref="T189">IF(ISBLANK(K189),0,_xlfn.XLOOKUP(R189&amp;S189,Daily_Totals[Day]&amp;Daily_Totals[Term],Daily_Totals[Instruction]))</f>
        <v>0</v>
      </c>
      <c r="U189" cm="1">
        <f t="array" ref="U189">IF(ISBLANK(K189),0,_xlfn.XLOOKUP(R189&amp;S189,Daily_Totals[Day]&amp;Daily_Totals[Term],Daily_Totals[Non-Instruction]))</f>
        <v>0</v>
      </c>
    </row>
    <row r="190" spans="3:21" x14ac:dyDescent="0.3">
      <c r="C190">
        <f t="shared" si="29"/>
        <v>12</v>
      </c>
      <c r="D190" s="37" cm="1">
        <f t="array" ref="D190:D196">TRANSPOSE(Calendar!B83:H83)</f>
        <v>46376</v>
      </c>
      <c r="E190" cm="1">
        <f t="array" ref="E190:E196">TRANSPOSE(Calendar!B84:H84)</f>
        <v>0</v>
      </c>
      <c r="F190">
        <f t="shared" si="25"/>
        <v>0</v>
      </c>
      <c r="K190" s="37"/>
      <c r="L190"/>
      <c r="N190" t="str">
        <f t="shared" si="27"/>
        <v/>
      </c>
      <c r="O190">
        <f t="shared" si="28"/>
        <v>0</v>
      </c>
      <c r="P190">
        <f>IF(IF(ISERROR(MATCH(K190,Rotation_Reset_Dates[Date],0)),0,1)=1,1,IF(ISBLANK(K190),"",IF(OR(rotationDays=1,K190&lt;First_Instructional_Day1),0,IF(AND(rotationDays&gt;1,K190=First_Instructional_Day1),1,IF(P189+IF(OR(N189="Instructional",N189="Not Scheduled"),1,0)&gt;rotationDays,1,P189+IF(OR(N189="Instructional",N189="Not Scheduled"),1,0))))))</f>
        <v>1</v>
      </c>
      <c r="Q190" t="str">
        <f t="shared" si="26"/>
        <v/>
      </c>
      <c r="R190" t="str">
        <f>IF(ISBLANK(K190),"",IF(N190="Operational (no students)",99,IF(N190="Instructional",IF(rotationDays=1,Q190,P190),_xlfn.XLOOKUP(N190,TimeTable_Codes[Description],TimeTable_Codes[TimetableCode]))))</f>
        <v/>
      </c>
      <c r="S190" t="str">
        <f>IF(NOT(ISBLANK(K190)),VLOOKUP(K190,term_lookups[],2),"")</f>
        <v/>
      </c>
      <c r="T190" cm="1">
        <f t="array" ref="T190">IF(ISBLANK(K190),0,_xlfn.XLOOKUP(R190&amp;S190,Daily_Totals[Day]&amp;Daily_Totals[Term],Daily_Totals[Instruction]))</f>
        <v>0</v>
      </c>
      <c r="U190" cm="1">
        <f t="array" ref="U190">IF(ISBLANK(K190),0,_xlfn.XLOOKUP(R190&amp;S190,Daily_Totals[Day]&amp;Daily_Totals[Term],Daily_Totals[Non-Instruction]))</f>
        <v>0</v>
      </c>
    </row>
    <row r="191" spans="3:21" x14ac:dyDescent="0.3">
      <c r="C191">
        <f t="shared" si="29"/>
        <v>12</v>
      </c>
      <c r="D191" s="37">
        <v>46377</v>
      </c>
      <c r="E191">
        <v>0</v>
      </c>
      <c r="F191">
        <f t="shared" si="25"/>
        <v>0</v>
      </c>
      <c r="K191" s="37"/>
      <c r="L191"/>
      <c r="N191" t="str">
        <f t="shared" si="27"/>
        <v/>
      </c>
      <c r="O191">
        <f t="shared" si="28"/>
        <v>0</v>
      </c>
      <c r="P191">
        <f>IF(IF(ISERROR(MATCH(K191,Rotation_Reset_Dates[Date],0)),0,1)=1,1,IF(ISBLANK(K191),"",IF(OR(rotationDays=1,K191&lt;First_Instructional_Day1),0,IF(AND(rotationDays&gt;1,K191=First_Instructional_Day1),1,IF(P190+IF(OR(N190="Instructional",N190="Not Scheduled"),1,0)&gt;rotationDays,1,P190+IF(OR(N190="Instructional",N190="Not Scheduled"),1,0))))))</f>
        <v>1</v>
      </c>
      <c r="Q191" t="str">
        <f t="shared" si="26"/>
        <v/>
      </c>
      <c r="R191" t="str">
        <f>IF(ISBLANK(K191),"",IF(N191="Operational (no students)",99,IF(N191="Instructional",IF(rotationDays=1,Q191,P191),_xlfn.XLOOKUP(N191,TimeTable_Codes[Description],TimeTable_Codes[TimetableCode]))))</f>
        <v/>
      </c>
      <c r="S191" t="str">
        <f>IF(NOT(ISBLANK(K191)),VLOOKUP(K191,term_lookups[],2),"")</f>
        <v/>
      </c>
      <c r="T191" cm="1">
        <f t="array" ref="T191">IF(ISBLANK(K191),0,_xlfn.XLOOKUP(R191&amp;S191,Daily_Totals[Day]&amp;Daily_Totals[Term],Daily_Totals[Instruction]))</f>
        <v>0</v>
      </c>
      <c r="U191" cm="1">
        <f t="array" ref="U191">IF(ISBLANK(K191),0,_xlfn.XLOOKUP(R191&amp;S191,Daily_Totals[Day]&amp;Daily_Totals[Term],Daily_Totals[Non-Instruction]))</f>
        <v>0</v>
      </c>
    </row>
    <row r="192" spans="3:21" x14ac:dyDescent="0.3">
      <c r="C192">
        <f t="shared" si="29"/>
        <v>12</v>
      </c>
      <c r="D192" s="37">
        <v>46378</v>
      </c>
      <c r="E192">
        <v>0</v>
      </c>
      <c r="F192">
        <f t="shared" si="25"/>
        <v>0</v>
      </c>
      <c r="K192" s="37"/>
      <c r="L192"/>
      <c r="N192" t="str">
        <f t="shared" si="27"/>
        <v/>
      </c>
      <c r="O192">
        <f t="shared" si="28"/>
        <v>0</v>
      </c>
      <c r="P192">
        <f>IF(IF(ISERROR(MATCH(K192,Rotation_Reset_Dates[Date],0)),0,1)=1,1,IF(ISBLANK(K192),"",IF(OR(rotationDays=1,K192&lt;First_Instructional_Day1),0,IF(AND(rotationDays&gt;1,K192=First_Instructional_Day1),1,IF(P191+IF(OR(N191="Instructional",N191="Not Scheduled"),1,0)&gt;rotationDays,1,P191+IF(OR(N191="Instructional",N191="Not Scheduled"),1,0))))))</f>
        <v>1</v>
      </c>
      <c r="Q192" t="str">
        <f t="shared" si="26"/>
        <v/>
      </c>
      <c r="R192" t="str">
        <f>IF(ISBLANK(K192),"",IF(N192="Operational (no students)",99,IF(N192="Instructional",IF(rotationDays=1,Q192,P192),_xlfn.XLOOKUP(N192,TimeTable_Codes[Description],TimeTable_Codes[TimetableCode]))))</f>
        <v/>
      </c>
      <c r="S192" t="str">
        <f>IF(NOT(ISBLANK(K192)),VLOOKUP(K192,term_lookups[],2),"")</f>
        <v/>
      </c>
      <c r="T192" cm="1">
        <f t="array" ref="T192">IF(ISBLANK(K192),0,_xlfn.XLOOKUP(R192&amp;S192,Daily_Totals[Day]&amp;Daily_Totals[Term],Daily_Totals[Instruction]))</f>
        <v>0</v>
      </c>
      <c r="U192" cm="1">
        <f t="array" ref="U192">IF(ISBLANK(K192),0,_xlfn.XLOOKUP(R192&amp;S192,Daily_Totals[Day]&amp;Daily_Totals[Term],Daily_Totals[Non-Instruction]))</f>
        <v>0</v>
      </c>
    </row>
    <row r="193" spans="3:21" x14ac:dyDescent="0.3">
      <c r="C193">
        <f t="shared" si="29"/>
        <v>12</v>
      </c>
      <c r="D193" s="37">
        <v>46379</v>
      </c>
      <c r="E193">
        <v>0</v>
      </c>
      <c r="F193">
        <f t="shared" si="25"/>
        <v>0</v>
      </c>
      <c r="K193" s="37"/>
      <c r="L193"/>
      <c r="N193" t="str">
        <f t="shared" si="27"/>
        <v/>
      </c>
      <c r="O193">
        <f t="shared" si="28"/>
        <v>0</v>
      </c>
      <c r="P193">
        <f>IF(IF(ISERROR(MATCH(K193,Rotation_Reset_Dates[Date],0)),0,1)=1,1,IF(ISBLANK(K193),"",IF(OR(rotationDays=1,K193&lt;First_Instructional_Day1),0,IF(AND(rotationDays&gt;1,K193=First_Instructional_Day1),1,IF(P192+IF(OR(N192="Instructional",N192="Not Scheduled"),1,0)&gt;rotationDays,1,P192+IF(OR(N192="Instructional",N192="Not Scheduled"),1,0))))))</f>
        <v>1</v>
      </c>
      <c r="Q193" t="str">
        <f t="shared" si="26"/>
        <v/>
      </c>
      <c r="R193" t="str">
        <f>IF(ISBLANK(K193),"",IF(N193="Operational (no students)",99,IF(N193="Instructional",IF(rotationDays=1,Q193,P193),_xlfn.XLOOKUP(N193,TimeTable_Codes[Description],TimeTable_Codes[TimetableCode]))))</f>
        <v/>
      </c>
      <c r="S193" t="str">
        <f>IF(NOT(ISBLANK(K193)),VLOOKUP(K193,term_lookups[],2),"")</f>
        <v/>
      </c>
      <c r="T193" cm="1">
        <f t="array" ref="T193">IF(ISBLANK(K193),0,_xlfn.XLOOKUP(R193&amp;S193,Daily_Totals[Day]&amp;Daily_Totals[Term],Daily_Totals[Instruction]))</f>
        <v>0</v>
      </c>
      <c r="U193" cm="1">
        <f t="array" ref="U193">IF(ISBLANK(K193),0,_xlfn.XLOOKUP(R193&amp;S193,Daily_Totals[Day]&amp;Daily_Totals[Term],Daily_Totals[Non-Instruction]))</f>
        <v>0</v>
      </c>
    </row>
    <row r="194" spans="3:21" x14ac:dyDescent="0.3">
      <c r="C194">
        <f t="shared" si="29"/>
        <v>12</v>
      </c>
      <c r="D194" s="37">
        <v>46380</v>
      </c>
      <c r="E194">
        <v>0</v>
      </c>
      <c r="F194">
        <f t="shared" si="25"/>
        <v>0</v>
      </c>
      <c r="K194" s="37"/>
      <c r="L194"/>
      <c r="N194" t="str">
        <f t="shared" si="27"/>
        <v/>
      </c>
      <c r="O194">
        <f t="shared" si="28"/>
        <v>0</v>
      </c>
      <c r="P194">
        <f>IF(IF(ISERROR(MATCH(K194,Rotation_Reset_Dates[Date],0)),0,1)=1,1,IF(ISBLANK(K194),"",IF(OR(rotationDays=1,K194&lt;First_Instructional_Day1),0,IF(AND(rotationDays&gt;1,K194=First_Instructional_Day1),1,IF(P193+IF(OR(N193="Instructional",N193="Not Scheduled"),1,0)&gt;rotationDays,1,P193+IF(OR(N193="Instructional",N193="Not Scheduled"),1,0))))))</f>
        <v>1</v>
      </c>
      <c r="Q194" t="str">
        <f t="shared" si="26"/>
        <v/>
      </c>
      <c r="R194" t="str">
        <f>IF(ISBLANK(K194),"",IF(N194="Operational (no students)",99,IF(N194="Instructional",IF(rotationDays=1,Q194,P194),_xlfn.XLOOKUP(N194,TimeTable_Codes[Description],TimeTable_Codes[TimetableCode]))))</f>
        <v/>
      </c>
      <c r="S194" t="str">
        <f>IF(NOT(ISBLANK(K194)),VLOOKUP(K194,term_lookups[],2),"")</f>
        <v/>
      </c>
      <c r="T194" cm="1">
        <f t="array" ref="T194">IF(ISBLANK(K194),0,_xlfn.XLOOKUP(R194&amp;S194,Daily_Totals[Day]&amp;Daily_Totals[Term],Daily_Totals[Instruction]))</f>
        <v>0</v>
      </c>
      <c r="U194" cm="1">
        <f t="array" ref="U194">IF(ISBLANK(K194),0,_xlfn.XLOOKUP(R194&amp;S194,Daily_Totals[Day]&amp;Daily_Totals[Term],Daily_Totals[Non-Instruction]))</f>
        <v>0</v>
      </c>
    </row>
    <row r="195" spans="3:21" x14ac:dyDescent="0.3">
      <c r="C195">
        <f t="shared" si="29"/>
        <v>12</v>
      </c>
      <c r="D195" s="37">
        <v>46381</v>
      </c>
      <c r="E195" t="str">
        <v>Closed (non-operational)</v>
      </c>
      <c r="F195">
        <f t="shared" si="25"/>
        <v>0</v>
      </c>
      <c r="K195" s="37"/>
      <c r="L195"/>
      <c r="N195" t="str">
        <f t="shared" si="27"/>
        <v/>
      </c>
      <c r="O195">
        <f t="shared" si="28"/>
        <v>0</v>
      </c>
      <c r="P195">
        <f>IF(IF(ISERROR(MATCH(K195,Rotation_Reset_Dates[Date],0)),0,1)=1,1,IF(ISBLANK(K195),"",IF(OR(rotationDays=1,K195&lt;First_Instructional_Day1),0,IF(AND(rotationDays&gt;1,K195=First_Instructional_Day1),1,IF(P194+IF(OR(N194="Instructional",N194="Not Scheduled"),1,0)&gt;rotationDays,1,P194+IF(OR(N194="Instructional",N194="Not Scheduled"),1,0))))))</f>
        <v>1</v>
      </c>
      <c r="Q195" t="str">
        <f t="shared" si="26"/>
        <v/>
      </c>
      <c r="R195" t="str">
        <f>IF(ISBLANK(K195),"",IF(N195="Operational (no students)",99,IF(N195="Instructional",IF(rotationDays=1,Q195,P195),_xlfn.XLOOKUP(N195,TimeTable_Codes[Description],TimeTable_Codes[TimetableCode]))))</f>
        <v/>
      </c>
      <c r="S195" t="str">
        <f>IF(NOT(ISBLANK(K195)),VLOOKUP(K195,term_lookups[],2),"")</f>
        <v/>
      </c>
      <c r="T195" cm="1">
        <f t="array" ref="T195">IF(ISBLANK(K195),0,_xlfn.XLOOKUP(R195&amp;S195,Daily_Totals[Day]&amp;Daily_Totals[Term],Daily_Totals[Instruction]))</f>
        <v>0</v>
      </c>
      <c r="U195" cm="1">
        <f t="array" ref="U195">IF(ISBLANK(K195),0,_xlfn.XLOOKUP(R195&amp;S195,Daily_Totals[Day]&amp;Daily_Totals[Term],Daily_Totals[Non-Instruction]))</f>
        <v>0</v>
      </c>
    </row>
    <row r="196" spans="3:21" x14ac:dyDescent="0.3">
      <c r="C196">
        <f t="shared" si="29"/>
        <v>12</v>
      </c>
      <c r="D196" s="37">
        <v>46382</v>
      </c>
      <c r="E196">
        <v>0</v>
      </c>
      <c r="F196">
        <f t="shared" si="25"/>
        <v>0</v>
      </c>
      <c r="K196" s="37"/>
      <c r="L196"/>
      <c r="N196" t="str">
        <f t="shared" si="27"/>
        <v/>
      </c>
      <c r="O196">
        <f t="shared" si="28"/>
        <v>0</v>
      </c>
      <c r="P196">
        <f>IF(IF(ISERROR(MATCH(K196,Rotation_Reset_Dates[Date],0)),0,1)=1,1,IF(ISBLANK(K196),"",IF(OR(rotationDays=1,K196&lt;First_Instructional_Day1),0,IF(AND(rotationDays&gt;1,K196=First_Instructional_Day1),1,IF(P195+IF(OR(N195="Instructional",N195="Not Scheduled"),1,0)&gt;rotationDays,1,P195+IF(OR(N195="Instructional",N195="Not Scheduled"),1,0))))))</f>
        <v>1</v>
      </c>
      <c r="Q196" t="str">
        <f t="shared" si="26"/>
        <v/>
      </c>
      <c r="R196" t="str">
        <f>IF(ISBLANK(K196),"",IF(N196="Operational (no students)",99,IF(N196="Instructional",IF(rotationDays=1,Q196,P196),_xlfn.XLOOKUP(N196,TimeTable_Codes[Description],TimeTable_Codes[TimetableCode]))))</f>
        <v/>
      </c>
      <c r="S196" t="str">
        <f>IF(NOT(ISBLANK(K196)),VLOOKUP(K196,term_lookups[],2),"")</f>
        <v/>
      </c>
      <c r="T196" cm="1">
        <f t="array" ref="T196">IF(ISBLANK(K196),0,_xlfn.XLOOKUP(R196&amp;S196,Daily_Totals[Day]&amp;Daily_Totals[Term],Daily_Totals[Instruction]))</f>
        <v>0</v>
      </c>
      <c r="U196" cm="1">
        <f t="array" ref="U196">IF(ISBLANK(K196),0,_xlfn.XLOOKUP(R196&amp;S196,Daily_Totals[Day]&amp;Daily_Totals[Term],Daily_Totals[Non-Instruction]))</f>
        <v>0</v>
      </c>
    </row>
    <row r="197" spans="3:21" x14ac:dyDescent="0.3">
      <c r="C197">
        <f t="shared" si="29"/>
        <v>12</v>
      </c>
      <c r="D197" s="37" cm="1">
        <f t="array" ref="D197:D203">TRANSPOSE(Calendar!B85:H85)</f>
        <v>46383</v>
      </c>
      <c r="E197" cm="1">
        <f t="array" ref="E197:E203">TRANSPOSE(Calendar!B86:H86)</f>
        <v>0</v>
      </c>
      <c r="F197">
        <f t="shared" si="25"/>
        <v>0</v>
      </c>
      <c r="K197" s="37"/>
      <c r="L197"/>
      <c r="N197" t="str">
        <f t="shared" si="27"/>
        <v/>
      </c>
      <c r="O197">
        <f t="shared" si="28"/>
        <v>0</v>
      </c>
      <c r="P197">
        <f>IF(IF(ISERROR(MATCH(K197,Rotation_Reset_Dates[Date],0)),0,1)=1,1,IF(ISBLANK(K197),"",IF(OR(rotationDays=1,K197&lt;First_Instructional_Day1),0,IF(AND(rotationDays&gt;1,K197=First_Instructional_Day1),1,IF(P196+IF(OR(N196="Instructional",N196="Not Scheduled"),1,0)&gt;rotationDays,1,P196+IF(OR(N196="Instructional",N196="Not Scheduled"),1,0))))))</f>
        <v>1</v>
      </c>
      <c r="Q197" t="str">
        <f t="shared" si="26"/>
        <v/>
      </c>
      <c r="R197" t="str">
        <f>IF(ISBLANK(K197),"",IF(N197="Operational (no students)",99,IF(N197="Instructional",IF(rotationDays=1,Q197,P197),_xlfn.XLOOKUP(N197,TimeTable_Codes[Description],TimeTable_Codes[TimetableCode]))))</f>
        <v/>
      </c>
      <c r="S197" t="str">
        <f>IF(NOT(ISBLANK(K197)),VLOOKUP(K197,term_lookups[],2),"")</f>
        <v/>
      </c>
      <c r="T197" cm="1">
        <f t="array" ref="T197">IF(ISBLANK(K197),0,_xlfn.XLOOKUP(R197&amp;S197,Daily_Totals[Day]&amp;Daily_Totals[Term],Daily_Totals[Instruction]))</f>
        <v>0</v>
      </c>
      <c r="U197" cm="1">
        <f t="array" ref="U197">IF(ISBLANK(K197),0,_xlfn.XLOOKUP(R197&amp;S197,Daily_Totals[Day]&amp;Daily_Totals[Term],Daily_Totals[Non-Instruction]))</f>
        <v>0</v>
      </c>
    </row>
    <row r="198" spans="3:21" x14ac:dyDescent="0.3">
      <c r="C198">
        <f t="shared" si="29"/>
        <v>12</v>
      </c>
      <c r="D198" s="37">
        <v>46384</v>
      </c>
      <c r="E198" t="str">
        <v>Closed (non-operational)</v>
      </c>
      <c r="F198">
        <f t="shared" si="25"/>
        <v>0</v>
      </c>
      <c r="K198" s="37"/>
      <c r="L198"/>
      <c r="N198" t="str">
        <f t="shared" si="27"/>
        <v/>
      </c>
      <c r="O198">
        <f t="shared" si="28"/>
        <v>0</v>
      </c>
      <c r="P198">
        <f>IF(IF(ISERROR(MATCH(K198,Rotation_Reset_Dates[Date],0)),0,1)=1,1,IF(ISBLANK(K198),"",IF(OR(rotationDays=1,K198&lt;First_Instructional_Day1),0,IF(AND(rotationDays&gt;1,K198=First_Instructional_Day1),1,IF(P197+IF(OR(N197="Instructional",N197="Not Scheduled"),1,0)&gt;rotationDays,1,P197+IF(OR(N197="Instructional",N197="Not Scheduled"),1,0))))))</f>
        <v>1</v>
      </c>
      <c r="Q198" t="str">
        <f t="shared" si="26"/>
        <v/>
      </c>
      <c r="R198" t="str">
        <f>IF(ISBLANK(K198),"",IF(N198="Operational (no students)",99,IF(N198="Instructional",IF(rotationDays=1,Q198,P198),_xlfn.XLOOKUP(N198,TimeTable_Codes[Description],TimeTable_Codes[TimetableCode]))))</f>
        <v/>
      </c>
      <c r="S198" t="str">
        <f>IF(NOT(ISBLANK(K198)),VLOOKUP(K198,term_lookups[],2),"")</f>
        <v/>
      </c>
      <c r="T198" cm="1">
        <f t="array" ref="T198">IF(ISBLANK(K198),0,_xlfn.XLOOKUP(R198&amp;S198,Daily_Totals[Day]&amp;Daily_Totals[Term],Daily_Totals[Instruction]))</f>
        <v>0</v>
      </c>
      <c r="U198" cm="1">
        <f t="array" ref="U198">IF(ISBLANK(K198),0,_xlfn.XLOOKUP(R198&amp;S198,Daily_Totals[Day]&amp;Daily_Totals[Term],Daily_Totals[Non-Instruction]))</f>
        <v>0</v>
      </c>
    </row>
    <row r="199" spans="3:21" x14ac:dyDescent="0.3">
      <c r="C199">
        <f t="shared" si="29"/>
        <v>12</v>
      </c>
      <c r="D199" s="37">
        <v>46385</v>
      </c>
      <c r="E199" t="str">
        <v>Closed (non-operational)</v>
      </c>
      <c r="F199">
        <f t="shared" si="25"/>
        <v>0</v>
      </c>
      <c r="K199" s="37"/>
      <c r="L199"/>
      <c r="N199" t="str">
        <f t="shared" si="27"/>
        <v/>
      </c>
      <c r="O199">
        <f t="shared" si="28"/>
        <v>0</v>
      </c>
      <c r="P199">
        <f>IF(IF(ISERROR(MATCH(K199,Rotation_Reset_Dates[Date],0)),0,1)=1,1,IF(ISBLANK(K199),"",IF(OR(rotationDays=1,K199&lt;First_Instructional_Day1),0,IF(AND(rotationDays&gt;1,K199=First_Instructional_Day1),1,IF(P198+IF(OR(N198="Instructional",N198="Not Scheduled"),1,0)&gt;rotationDays,1,P198+IF(OR(N198="Instructional",N198="Not Scheduled"),1,0))))))</f>
        <v>1</v>
      </c>
      <c r="Q199" t="str">
        <f t="shared" si="26"/>
        <v/>
      </c>
      <c r="R199" t="str">
        <f>IF(ISBLANK(K199),"",IF(N199="Operational (no students)",99,IF(N199="Instructional",IF(rotationDays=1,Q199,P199),_xlfn.XLOOKUP(N199,TimeTable_Codes[Description],TimeTable_Codes[TimetableCode]))))</f>
        <v/>
      </c>
      <c r="S199" t="str">
        <f>IF(NOT(ISBLANK(K199)),VLOOKUP(K199,term_lookups[],2),"")</f>
        <v/>
      </c>
      <c r="T199" cm="1">
        <f t="array" ref="T199">IF(ISBLANK(K199),0,_xlfn.XLOOKUP(R199&amp;S199,Daily_Totals[Day]&amp;Daily_Totals[Term],Daily_Totals[Instruction]))</f>
        <v>0</v>
      </c>
      <c r="U199" cm="1">
        <f t="array" ref="U199">IF(ISBLANK(K199),0,_xlfn.XLOOKUP(R199&amp;S199,Daily_Totals[Day]&amp;Daily_Totals[Term],Daily_Totals[Non-Instruction]))</f>
        <v>0</v>
      </c>
    </row>
    <row r="200" spans="3:21" x14ac:dyDescent="0.3">
      <c r="C200">
        <f t="shared" si="29"/>
        <v>12</v>
      </c>
      <c r="D200" s="37">
        <v>46386</v>
      </c>
      <c r="E200" t="str">
        <v>Closed (non-operational)</v>
      </c>
      <c r="F200">
        <f t="shared" si="25"/>
        <v>0</v>
      </c>
      <c r="K200" s="37"/>
      <c r="L200"/>
      <c r="N200" t="str">
        <f t="shared" si="27"/>
        <v/>
      </c>
      <c r="O200">
        <f t="shared" si="28"/>
        <v>0</v>
      </c>
      <c r="P200">
        <f>IF(IF(ISERROR(MATCH(K200,Rotation_Reset_Dates[Date],0)),0,1)=1,1,IF(ISBLANK(K200),"",IF(OR(rotationDays=1,K200&lt;First_Instructional_Day1),0,IF(AND(rotationDays&gt;1,K200=First_Instructional_Day1),1,IF(P199+IF(OR(N199="Instructional",N199="Not Scheduled"),1,0)&gt;rotationDays,1,P199+IF(OR(N199="Instructional",N199="Not Scheduled"),1,0))))))</f>
        <v>1</v>
      </c>
      <c r="Q200" t="str">
        <f t="shared" si="26"/>
        <v/>
      </c>
      <c r="R200" t="str">
        <f>IF(ISBLANK(K200),"",IF(N200="Operational (no students)",99,IF(N200="Instructional",IF(rotationDays=1,Q200,P200),_xlfn.XLOOKUP(N200,TimeTable_Codes[Description],TimeTable_Codes[TimetableCode]))))</f>
        <v/>
      </c>
      <c r="S200" t="str">
        <f>IF(NOT(ISBLANK(K200)),VLOOKUP(K200,term_lookups[],2),"")</f>
        <v/>
      </c>
      <c r="T200" cm="1">
        <f t="array" ref="T200">IF(ISBLANK(K200),0,_xlfn.XLOOKUP(R200&amp;S200,Daily_Totals[Day]&amp;Daily_Totals[Term],Daily_Totals[Instruction]))</f>
        <v>0</v>
      </c>
      <c r="U200" cm="1">
        <f t="array" ref="U200">IF(ISBLANK(K200),0,_xlfn.XLOOKUP(R200&amp;S200,Daily_Totals[Day]&amp;Daily_Totals[Term],Daily_Totals[Non-Instruction]))</f>
        <v>0</v>
      </c>
    </row>
    <row r="201" spans="3:21" x14ac:dyDescent="0.3">
      <c r="C201">
        <f t="shared" si="29"/>
        <v>12</v>
      </c>
      <c r="D201" s="37">
        <v>46387</v>
      </c>
      <c r="E201" t="str">
        <v>Closed (non-operational)</v>
      </c>
      <c r="F201">
        <f t="shared" si="25"/>
        <v>0</v>
      </c>
      <c r="K201" s="37"/>
      <c r="L201"/>
      <c r="N201" t="str">
        <f t="shared" si="27"/>
        <v/>
      </c>
      <c r="O201">
        <f t="shared" si="28"/>
        <v>0</v>
      </c>
      <c r="P201">
        <f>IF(IF(ISERROR(MATCH(K201,Rotation_Reset_Dates[Date],0)),0,1)=1,1,IF(ISBLANK(K201),"",IF(OR(rotationDays=1,K201&lt;First_Instructional_Day1),0,IF(AND(rotationDays&gt;1,K201=First_Instructional_Day1),1,IF(P200+IF(OR(N200="Instructional",N200="Not Scheduled"),1,0)&gt;rotationDays,1,P200+IF(OR(N200="Instructional",N200="Not Scheduled"),1,0))))))</f>
        <v>1</v>
      </c>
      <c r="Q201" t="str">
        <f t="shared" si="26"/>
        <v/>
      </c>
      <c r="R201" t="str">
        <f>IF(ISBLANK(K201),"",IF(N201="Operational (no students)",99,IF(N201="Instructional",IF(rotationDays=1,Q201,P201),_xlfn.XLOOKUP(N201,TimeTable_Codes[Description],TimeTable_Codes[TimetableCode]))))</f>
        <v/>
      </c>
      <c r="S201" t="str">
        <f>IF(NOT(ISBLANK(K201)),VLOOKUP(K201,term_lookups[],2),"")</f>
        <v/>
      </c>
      <c r="T201" cm="1">
        <f t="array" ref="T201">IF(ISBLANK(K201),0,_xlfn.XLOOKUP(R201&amp;S201,Daily_Totals[Day]&amp;Daily_Totals[Term],Daily_Totals[Instruction]))</f>
        <v>0</v>
      </c>
      <c r="U201" cm="1">
        <f t="array" ref="U201">IF(ISBLANK(K201),0,_xlfn.XLOOKUP(R201&amp;S201,Daily_Totals[Day]&amp;Daily_Totals[Term],Daily_Totals[Non-Instruction]))</f>
        <v>0</v>
      </c>
    </row>
    <row r="202" spans="3:21" x14ac:dyDescent="0.3">
      <c r="C202">
        <f t="shared" si="29"/>
        <v>12</v>
      </c>
      <c r="D202" s="37">
        <v>46388</v>
      </c>
      <c r="E202">
        <v>0</v>
      </c>
      <c r="F202">
        <f t="shared" si="25"/>
        <v>0</v>
      </c>
      <c r="K202" s="37"/>
      <c r="L202"/>
      <c r="N202" t="str">
        <f t="shared" si="27"/>
        <v/>
      </c>
      <c r="O202">
        <f t="shared" si="28"/>
        <v>0</v>
      </c>
      <c r="P202">
        <f>IF(IF(ISERROR(MATCH(K202,Rotation_Reset_Dates[Date],0)),0,1)=1,1,IF(ISBLANK(K202),"",IF(OR(rotationDays=1,K202&lt;First_Instructional_Day1),0,IF(AND(rotationDays&gt;1,K202=First_Instructional_Day1),1,IF(P201+IF(OR(N201="Instructional",N201="Not Scheduled"),1,0)&gt;rotationDays,1,P201+IF(OR(N201="Instructional",N201="Not Scheduled"),1,0))))))</f>
        <v>1</v>
      </c>
      <c r="Q202" t="str">
        <f t="shared" si="26"/>
        <v/>
      </c>
      <c r="R202" t="str">
        <f>IF(ISBLANK(K202),"",IF(N202="Operational (no students)",99,IF(N202="Instructional",IF(rotationDays=1,Q202,P202),_xlfn.XLOOKUP(N202,TimeTable_Codes[Description],TimeTable_Codes[TimetableCode]))))</f>
        <v/>
      </c>
      <c r="S202" t="str">
        <f>IF(NOT(ISBLANK(K202)),VLOOKUP(K202,term_lookups[],2),"")</f>
        <v/>
      </c>
      <c r="T202" cm="1">
        <f t="array" ref="T202">IF(ISBLANK(K202),0,_xlfn.XLOOKUP(R202&amp;S202,Daily_Totals[Day]&amp;Daily_Totals[Term],Daily_Totals[Instruction]))</f>
        <v>0</v>
      </c>
      <c r="U202" cm="1">
        <f t="array" ref="U202">IF(ISBLANK(K202),0,_xlfn.XLOOKUP(R202&amp;S202,Daily_Totals[Day]&amp;Daily_Totals[Term],Daily_Totals[Non-Instruction]))</f>
        <v>0</v>
      </c>
    </row>
    <row r="203" spans="3:21" x14ac:dyDescent="0.3">
      <c r="C203">
        <f t="shared" si="29"/>
        <v>12</v>
      </c>
      <c r="D203" s="37">
        <v>46389</v>
      </c>
      <c r="E203">
        <v>0</v>
      </c>
      <c r="F203">
        <f t="shared" si="25"/>
        <v>0</v>
      </c>
      <c r="K203" s="37"/>
      <c r="L203"/>
      <c r="N203" t="str">
        <f t="shared" si="27"/>
        <v/>
      </c>
      <c r="O203">
        <f t="shared" si="28"/>
        <v>0</v>
      </c>
      <c r="P203">
        <f>IF(IF(ISERROR(MATCH(K203,Rotation_Reset_Dates[Date],0)),0,1)=1,1,IF(ISBLANK(K203),"",IF(OR(rotationDays=1,K203&lt;First_Instructional_Day1),0,IF(AND(rotationDays&gt;1,K203=First_Instructional_Day1),1,IF(P202+IF(OR(N202="Instructional",N202="Not Scheduled"),1,0)&gt;rotationDays,1,P202+IF(OR(N202="Instructional",N202="Not Scheduled"),1,0))))))</f>
        <v>1</v>
      </c>
      <c r="Q203" t="str">
        <f t="shared" si="26"/>
        <v/>
      </c>
      <c r="R203" t="str">
        <f>IF(ISBLANK(K203),"",IF(N203="Operational (no students)",99,IF(N203="Instructional",IF(rotationDays=1,Q203,P203),_xlfn.XLOOKUP(N203,TimeTable_Codes[Description],TimeTable_Codes[TimetableCode]))))</f>
        <v/>
      </c>
      <c r="S203" t="str">
        <f>IF(NOT(ISBLANK(K203)),VLOOKUP(K203,term_lookups[],2),"")</f>
        <v/>
      </c>
      <c r="T203" cm="1">
        <f t="array" ref="T203">IF(ISBLANK(K203),0,_xlfn.XLOOKUP(R203&amp;S203,Daily_Totals[Day]&amp;Daily_Totals[Term],Daily_Totals[Instruction]))</f>
        <v>0</v>
      </c>
      <c r="U203" cm="1">
        <f t="array" ref="U203">IF(ISBLANK(K203),0,_xlfn.XLOOKUP(R203&amp;S203,Daily_Totals[Day]&amp;Daily_Totals[Term],Daily_Totals[Non-Instruction]))</f>
        <v>0</v>
      </c>
    </row>
    <row r="204" spans="3:21" x14ac:dyDescent="0.3">
      <c r="C204">
        <f t="shared" si="29"/>
        <v>12</v>
      </c>
      <c r="D204" s="37" cm="1">
        <f t="array" ref="D204:D205">TRANSPOSE(Calendar!B87:C87)</f>
        <v>46390</v>
      </c>
      <c r="E204" cm="1">
        <f t="array" ref="E204">TRANSPOSE(Calendar!B88:B88)</f>
        <v>0</v>
      </c>
      <c r="F204">
        <f t="shared" si="25"/>
        <v>0</v>
      </c>
      <c r="K204" s="37"/>
      <c r="L204"/>
      <c r="N204" t="str">
        <f t="shared" si="27"/>
        <v/>
      </c>
      <c r="O204">
        <f t="shared" si="28"/>
        <v>0</v>
      </c>
      <c r="P204">
        <f>IF(IF(ISERROR(MATCH(K204,Rotation_Reset_Dates[Date],0)),0,1)=1,1,IF(ISBLANK(K204),"",IF(OR(rotationDays=1,K204&lt;First_Instructional_Day1),0,IF(AND(rotationDays&gt;1,K204=First_Instructional_Day1),1,IF(P203+IF(OR(N203="Instructional",N203="Not Scheduled"),1,0)&gt;rotationDays,1,P203+IF(OR(N203="Instructional",N203="Not Scheduled"),1,0))))))</f>
        <v>1</v>
      </c>
      <c r="Q204" t="str">
        <f t="shared" si="26"/>
        <v/>
      </c>
      <c r="R204" t="str">
        <f>IF(ISBLANK(K204),"",IF(N204="Operational (no students)",99,IF(N204="Instructional",IF(rotationDays=1,Q204,P204),_xlfn.XLOOKUP(N204,TimeTable_Codes[Description],TimeTable_Codes[TimetableCode]))))</f>
        <v/>
      </c>
      <c r="S204" t="str">
        <f>IF(NOT(ISBLANK(K204)),VLOOKUP(K204,term_lookups[],2),"")</f>
        <v/>
      </c>
      <c r="T204" cm="1">
        <f t="array" ref="T204">IF(ISBLANK(K204),0,_xlfn.XLOOKUP(R204&amp;S204,Daily_Totals[Day]&amp;Daily_Totals[Term],Daily_Totals[Instruction]))</f>
        <v>0</v>
      </c>
      <c r="U204" cm="1">
        <f t="array" ref="U204">IF(ISBLANK(K204),0,_xlfn.XLOOKUP(R204&amp;S204,Daily_Totals[Day]&amp;Daily_Totals[Term],Daily_Totals[Non-Instruction]))</f>
        <v>0</v>
      </c>
    </row>
    <row r="205" spans="3:21" x14ac:dyDescent="0.3">
      <c r="C205">
        <f t="shared" si="29"/>
        <v>12</v>
      </c>
      <c r="D205" s="37">
        <v>46391</v>
      </c>
      <c r="E205"/>
      <c r="F205">
        <f t="shared" si="25"/>
        <v>0</v>
      </c>
      <c r="K205" s="37"/>
      <c r="L205"/>
      <c r="N205" t="str">
        <f t="shared" si="27"/>
        <v/>
      </c>
      <c r="O205">
        <f t="shared" si="28"/>
        <v>0</v>
      </c>
      <c r="P205">
        <f>IF(IF(ISERROR(MATCH(K205,Rotation_Reset_Dates[Date],0)),0,1)=1,1,IF(ISBLANK(K205),"",IF(OR(rotationDays=1,K205&lt;First_Instructional_Day1),0,IF(AND(rotationDays&gt;1,K205=First_Instructional_Day1),1,IF(P204+IF(OR(N204="Instructional",N204="Not Scheduled"),1,0)&gt;rotationDays,1,P204+IF(OR(N204="Instructional",N204="Not Scheduled"),1,0))))))</f>
        <v>1</v>
      </c>
      <c r="Q205" t="str">
        <f t="shared" si="26"/>
        <v/>
      </c>
      <c r="R205" t="str">
        <f>IF(ISBLANK(K205),"",IF(N205="Operational (no students)",99,IF(N205="Instructional",IF(rotationDays=1,Q205,P205),_xlfn.XLOOKUP(N205,TimeTable_Codes[Description],TimeTable_Codes[TimetableCode]))))</f>
        <v/>
      </c>
      <c r="S205" t="str">
        <f>IF(NOT(ISBLANK(K205)),VLOOKUP(K205,term_lookups[],2),"")</f>
        <v/>
      </c>
      <c r="T205" cm="1">
        <f t="array" ref="T205">IF(ISBLANK(K205),0,_xlfn.XLOOKUP(R205&amp;S205,Daily_Totals[Day]&amp;Daily_Totals[Term],Daily_Totals[Instruction]))</f>
        <v>0</v>
      </c>
      <c r="U205" cm="1">
        <f t="array" ref="U205">IF(ISBLANK(K205),0,_xlfn.XLOOKUP(R205&amp;S205,Daily_Totals[Day]&amp;Daily_Totals[Term],Daily_Totals[Non-Instruction]))</f>
        <v>0</v>
      </c>
    </row>
    <row r="206" spans="3:21" x14ac:dyDescent="0.3">
      <c r="C206">
        <v>1</v>
      </c>
      <c r="D206" s="37" cm="1">
        <f t="array" ref="D206:D212">TRANSPOSE(Calendar!B93:H93)</f>
        <v>46383</v>
      </c>
      <c r="E206" cm="1">
        <f t="array" ref="E206:E212">TRANSPOSE(Calendar!B94:H94)</f>
        <v>0</v>
      </c>
      <c r="F206">
        <f t="shared" si="25"/>
        <v>0</v>
      </c>
      <c r="K206" s="37"/>
      <c r="L206"/>
      <c r="N206" t="str">
        <f t="shared" si="27"/>
        <v/>
      </c>
      <c r="O206">
        <f t="shared" si="28"/>
        <v>0</v>
      </c>
      <c r="P206">
        <f>IF(IF(ISERROR(MATCH(K206,Rotation_Reset_Dates[Date],0)),0,1)=1,1,IF(ISBLANK(K206),"",IF(OR(rotationDays=1,K206&lt;First_Instructional_Day1),0,IF(AND(rotationDays&gt;1,K206=First_Instructional_Day1),1,IF(P205+IF(OR(N205="Instructional",N205="Not Scheduled"),1,0)&gt;rotationDays,1,P205+IF(OR(N205="Instructional",N205="Not Scheduled"),1,0))))))</f>
        <v>1</v>
      </c>
      <c r="Q206" t="str">
        <f t="shared" si="26"/>
        <v/>
      </c>
      <c r="R206" t="str">
        <f>IF(ISBLANK(K206),"",IF(N206="Operational (no students)",99,IF(N206="Instructional",IF(rotationDays=1,Q206,P206),_xlfn.XLOOKUP(N206,TimeTable_Codes[Description],TimeTable_Codes[TimetableCode]))))</f>
        <v/>
      </c>
      <c r="S206" t="str">
        <f>IF(NOT(ISBLANK(K206)),VLOOKUP(K206,term_lookups[],2),"")</f>
        <v/>
      </c>
      <c r="T206" cm="1">
        <f t="array" ref="T206">IF(ISBLANK(K206),0,_xlfn.XLOOKUP(R206&amp;S206,Daily_Totals[Day]&amp;Daily_Totals[Term],Daily_Totals[Instruction]))</f>
        <v>0</v>
      </c>
      <c r="U206" cm="1">
        <f t="array" ref="U206">IF(ISBLANK(K206),0,_xlfn.XLOOKUP(R206&amp;S206,Daily_Totals[Day]&amp;Daily_Totals[Term],Daily_Totals[Non-Instruction]))</f>
        <v>0</v>
      </c>
    </row>
    <row r="207" spans="3:21" x14ac:dyDescent="0.3">
      <c r="C207">
        <v>1</v>
      </c>
      <c r="D207" s="37">
        <v>46384</v>
      </c>
      <c r="E207">
        <v>0</v>
      </c>
      <c r="F207">
        <f t="shared" si="25"/>
        <v>0</v>
      </c>
      <c r="K207" s="37"/>
      <c r="L207"/>
      <c r="N207" t="str">
        <f t="shared" si="27"/>
        <v/>
      </c>
      <c r="O207">
        <f t="shared" si="28"/>
        <v>0</v>
      </c>
      <c r="P207">
        <f>IF(IF(ISERROR(MATCH(K207,Rotation_Reset_Dates[Date],0)),0,1)=1,1,IF(ISBLANK(K207),"",IF(OR(rotationDays=1,K207&lt;First_Instructional_Day1),0,IF(AND(rotationDays&gt;1,K207=First_Instructional_Day1),1,IF(P206+IF(OR(N206="Instructional",N206="Not Scheduled"),1,0)&gt;rotationDays,1,P206+IF(OR(N206="Instructional",N206="Not Scheduled"),1,0))))))</f>
        <v>1</v>
      </c>
      <c r="Q207" t="str">
        <f t="shared" si="26"/>
        <v/>
      </c>
      <c r="R207" t="str">
        <f>IF(ISBLANK(K207),"",IF(N207="Operational (no students)",99,IF(N207="Instructional",IF(rotationDays=1,Q207,P207),_xlfn.XLOOKUP(N207,TimeTable_Codes[Description],TimeTable_Codes[TimetableCode]))))</f>
        <v/>
      </c>
      <c r="S207" t="str">
        <f>IF(NOT(ISBLANK(K207)),VLOOKUP(K207,term_lookups[],2),"")</f>
        <v/>
      </c>
      <c r="T207" cm="1">
        <f t="array" ref="T207">IF(ISBLANK(K207),0,_xlfn.XLOOKUP(R207&amp;S207,Daily_Totals[Day]&amp;Daily_Totals[Term],Daily_Totals[Instruction]))</f>
        <v>0</v>
      </c>
      <c r="U207" cm="1">
        <f t="array" ref="U207">IF(ISBLANK(K207),0,_xlfn.XLOOKUP(R207&amp;S207,Daily_Totals[Day]&amp;Daily_Totals[Term],Daily_Totals[Non-Instruction]))</f>
        <v>0</v>
      </c>
    </row>
    <row r="208" spans="3:21" x14ac:dyDescent="0.3">
      <c r="C208">
        <v>1</v>
      </c>
      <c r="D208" s="37">
        <v>46385</v>
      </c>
      <c r="E208">
        <v>0</v>
      </c>
      <c r="F208">
        <f t="shared" si="25"/>
        <v>0</v>
      </c>
      <c r="K208" s="37"/>
      <c r="L208"/>
      <c r="N208" t="str">
        <f t="shared" si="27"/>
        <v/>
      </c>
      <c r="O208">
        <f t="shared" si="28"/>
        <v>0</v>
      </c>
      <c r="P208">
        <f>IF(IF(ISERROR(MATCH(K208,Rotation_Reset_Dates[Date],0)),0,1)=1,1,IF(ISBLANK(K208),"",IF(OR(rotationDays=1,K208&lt;First_Instructional_Day1),0,IF(AND(rotationDays&gt;1,K208=First_Instructional_Day1),1,IF(P207+IF(OR(N207="Instructional",N207="Not Scheduled"),1,0)&gt;rotationDays,1,P207+IF(OR(N207="Instructional",N207="Not Scheduled"),1,0))))))</f>
        <v>1</v>
      </c>
      <c r="Q208" t="str">
        <f t="shared" si="26"/>
        <v/>
      </c>
      <c r="R208" t="str">
        <f>IF(ISBLANK(K208),"",IF(N208="Operational (no students)",99,IF(N208="Instructional",IF(rotationDays=1,Q208,P208),_xlfn.XLOOKUP(N208,TimeTable_Codes[Description],TimeTable_Codes[TimetableCode]))))</f>
        <v/>
      </c>
      <c r="S208" t="str">
        <f>IF(NOT(ISBLANK(K208)),VLOOKUP(K208,term_lookups[],2),"")</f>
        <v/>
      </c>
      <c r="T208" cm="1">
        <f t="array" ref="T208">IF(ISBLANK(K208),0,_xlfn.XLOOKUP(R208&amp;S208,Daily_Totals[Day]&amp;Daily_Totals[Term],Daily_Totals[Instruction]))</f>
        <v>0</v>
      </c>
      <c r="U208" cm="1">
        <f t="array" ref="U208">IF(ISBLANK(K208),0,_xlfn.XLOOKUP(R208&amp;S208,Daily_Totals[Day]&amp;Daily_Totals[Term],Daily_Totals[Non-Instruction]))</f>
        <v>0</v>
      </c>
    </row>
    <row r="209" spans="3:21" x14ac:dyDescent="0.3">
      <c r="C209">
        <v>1</v>
      </c>
      <c r="D209" s="37">
        <v>46386</v>
      </c>
      <c r="E209">
        <v>0</v>
      </c>
      <c r="F209">
        <f t="shared" si="25"/>
        <v>0</v>
      </c>
      <c r="K209" s="37"/>
      <c r="L209"/>
      <c r="N209" t="str">
        <f t="shared" si="27"/>
        <v/>
      </c>
      <c r="O209">
        <f t="shared" si="28"/>
        <v>0</v>
      </c>
      <c r="P209">
        <f>IF(IF(ISERROR(MATCH(K209,Rotation_Reset_Dates[Date],0)),0,1)=1,1,IF(ISBLANK(K209),"",IF(OR(rotationDays=1,K209&lt;First_Instructional_Day1),0,IF(AND(rotationDays&gt;1,K209=First_Instructional_Day1),1,IF(P208+IF(OR(N208="Instructional",N208="Not Scheduled"),1,0)&gt;rotationDays,1,P208+IF(OR(N208="Instructional",N208="Not Scheduled"),1,0))))))</f>
        <v>1</v>
      </c>
      <c r="Q209" t="str">
        <f t="shared" si="26"/>
        <v/>
      </c>
      <c r="R209" t="str">
        <f>IF(ISBLANK(K209),"",IF(N209="Operational (no students)",99,IF(N209="Instructional",IF(rotationDays=1,Q209,P209),_xlfn.XLOOKUP(N209,TimeTable_Codes[Description],TimeTable_Codes[TimetableCode]))))</f>
        <v/>
      </c>
      <c r="S209" t="str">
        <f>IF(NOT(ISBLANK(K209)),VLOOKUP(K209,term_lookups[],2),"")</f>
        <v/>
      </c>
      <c r="T209" cm="1">
        <f t="array" ref="T209">IF(ISBLANK(K209),0,_xlfn.XLOOKUP(R209&amp;S209,Daily_Totals[Day]&amp;Daily_Totals[Term],Daily_Totals[Instruction]))</f>
        <v>0</v>
      </c>
      <c r="U209" cm="1">
        <f t="array" ref="U209">IF(ISBLANK(K209),0,_xlfn.XLOOKUP(R209&amp;S209,Daily_Totals[Day]&amp;Daily_Totals[Term],Daily_Totals[Non-Instruction]))</f>
        <v>0</v>
      </c>
    </row>
    <row r="210" spans="3:21" x14ac:dyDescent="0.3">
      <c r="C210">
        <v>1</v>
      </c>
      <c r="D210" s="37">
        <v>46387</v>
      </c>
      <c r="E210">
        <v>0</v>
      </c>
      <c r="F210">
        <f t="shared" si="25"/>
        <v>0</v>
      </c>
      <c r="K210" s="37"/>
      <c r="L210"/>
      <c r="N210" t="str">
        <f t="shared" si="27"/>
        <v/>
      </c>
      <c r="O210">
        <f t="shared" si="28"/>
        <v>0</v>
      </c>
      <c r="P210">
        <f>IF(IF(ISERROR(MATCH(K210,Rotation_Reset_Dates[Date],0)),0,1)=1,1,IF(ISBLANK(K210),"",IF(OR(rotationDays=1,K210&lt;First_Instructional_Day1),0,IF(AND(rotationDays&gt;1,K210=First_Instructional_Day1),1,IF(P209+IF(OR(N209="Instructional",N209="Not Scheduled"),1,0)&gt;rotationDays,1,P209+IF(OR(N209="Instructional",N209="Not Scheduled"),1,0))))))</f>
        <v>1</v>
      </c>
      <c r="Q210" t="str">
        <f t="shared" si="26"/>
        <v/>
      </c>
      <c r="R210" t="str">
        <f>IF(ISBLANK(K210),"",IF(N210="Operational (no students)",99,IF(N210="Instructional",IF(rotationDays=1,Q210,P210),_xlfn.XLOOKUP(N210,TimeTable_Codes[Description],TimeTable_Codes[TimetableCode]))))</f>
        <v/>
      </c>
      <c r="S210" t="str">
        <f>IF(NOT(ISBLANK(K210)),VLOOKUP(K210,term_lookups[],2),"")</f>
        <v/>
      </c>
      <c r="T210" cm="1">
        <f t="array" ref="T210">IF(ISBLANK(K210),0,_xlfn.XLOOKUP(R210&amp;S210,Daily_Totals[Day]&amp;Daily_Totals[Term],Daily_Totals[Instruction]))</f>
        <v>0</v>
      </c>
      <c r="U210" cm="1">
        <f t="array" ref="U210">IF(ISBLANK(K210),0,_xlfn.XLOOKUP(R210&amp;S210,Daily_Totals[Day]&amp;Daily_Totals[Term],Daily_Totals[Non-Instruction]))</f>
        <v>0</v>
      </c>
    </row>
    <row r="211" spans="3:21" x14ac:dyDescent="0.3">
      <c r="C211">
        <v>1</v>
      </c>
      <c r="D211" s="37">
        <v>46388</v>
      </c>
      <c r="E211" t="str">
        <v>Closed (non-operational)</v>
      </c>
      <c r="F211">
        <f t="shared" si="25"/>
        <v>0</v>
      </c>
      <c r="K211" s="37"/>
      <c r="L211"/>
      <c r="N211" t="str">
        <f t="shared" si="27"/>
        <v/>
      </c>
      <c r="O211">
        <f t="shared" si="28"/>
        <v>0</v>
      </c>
      <c r="P211">
        <f>IF(IF(ISERROR(MATCH(K211,Rotation_Reset_Dates[Date],0)),0,1)=1,1,IF(ISBLANK(K211),"",IF(OR(rotationDays=1,K211&lt;First_Instructional_Day1),0,IF(AND(rotationDays&gt;1,K211=First_Instructional_Day1),1,IF(P210+IF(OR(N210="Instructional",N210="Not Scheduled"),1,0)&gt;rotationDays,1,P210+IF(OR(N210="Instructional",N210="Not Scheduled"),1,0))))))</f>
        <v>1</v>
      </c>
      <c r="Q211" t="str">
        <f t="shared" si="26"/>
        <v/>
      </c>
      <c r="R211" t="str">
        <f>IF(ISBLANK(K211),"",IF(N211="Operational (no students)",99,IF(N211="Instructional",IF(rotationDays=1,Q211,P211),_xlfn.XLOOKUP(N211,TimeTable_Codes[Description],TimeTable_Codes[TimetableCode]))))</f>
        <v/>
      </c>
      <c r="S211" t="str">
        <f>IF(NOT(ISBLANK(K211)),VLOOKUP(K211,term_lookups[],2),"")</f>
        <v/>
      </c>
      <c r="T211" cm="1">
        <f t="array" ref="T211">IF(ISBLANK(K211),0,_xlfn.XLOOKUP(R211&amp;S211,Daily_Totals[Day]&amp;Daily_Totals[Term],Daily_Totals[Instruction]))</f>
        <v>0</v>
      </c>
      <c r="U211" cm="1">
        <f t="array" ref="U211">IF(ISBLANK(K211),0,_xlfn.XLOOKUP(R211&amp;S211,Daily_Totals[Day]&amp;Daily_Totals[Term],Daily_Totals[Non-Instruction]))</f>
        <v>0</v>
      </c>
    </row>
    <row r="212" spans="3:21" x14ac:dyDescent="0.3">
      <c r="C212">
        <v>1</v>
      </c>
      <c r="D212" s="37">
        <v>46389</v>
      </c>
      <c r="E212">
        <v>0</v>
      </c>
      <c r="F212">
        <f t="shared" si="25"/>
        <v>0</v>
      </c>
      <c r="K212" s="37"/>
      <c r="L212"/>
      <c r="N212" t="str">
        <f t="shared" si="27"/>
        <v/>
      </c>
      <c r="O212">
        <f t="shared" si="28"/>
        <v>0</v>
      </c>
      <c r="P212">
        <f>IF(IF(ISERROR(MATCH(K212,Rotation_Reset_Dates[Date],0)),0,1)=1,1,IF(ISBLANK(K212),"",IF(OR(rotationDays=1,K212&lt;First_Instructional_Day1),0,IF(AND(rotationDays&gt;1,K212=First_Instructional_Day1),1,IF(P211+IF(OR(N211="Instructional",N211="Not Scheduled"),1,0)&gt;rotationDays,1,P211+IF(OR(N211="Instructional",N211="Not Scheduled"),1,0))))))</f>
        <v>1</v>
      </c>
      <c r="Q212" t="str">
        <f t="shared" si="26"/>
        <v/>
      </c>
      <c r="R212" t="str">
        <f>IF(ISBLANK(K212),"",IF(N212="Operational (no students)",99,IF(N212="Instructional",IF(rotationDays=1,Q212,P212),_xlfn.XLOOKUP(N212,TimeTable_Codes[Description],TimeTable_Codes[TimetableCode]))))</f>
        <v/>
      </c>
      <c r="S212" t="str">
        <f>IF(NOT(ISBLANK(K212)),VLOOKUP(K212,term_lookups[],2),"")</f>
        <v/>
      </c>
      <c r="T212" cm="1">
        <f t="array" ref="T212">IF(ISBLANK(K212),0,_xlfn.XLOOKUP(R212&amp;S212,Daily_Totals[Day]&amp;Daily_Totals[Term],Daily_Totals[Instruction]))</f>
        <v>0</v>
      </c>
      <c r="U212" cm="1">
        <f t="array" ref="U212">IF(ISBLANK(K212),0,_xlfn.XLOOKUP(R212&amp;S212,Daily_Totals[Day]&amp;Daily_Totals[Term],Daily_Totals[Non-Instruction]))</f>
        <v>0</v>
      </c>
    </row>
    <row r="213" spans="3:21" x14ac:dyDescent="0.3">
      <c r="C213">
        <v>1</v>
      </c>
      <c r="D213" s="37" cm="1">
        <f t="array" ref="D213:D219">TRANSPOSE(Calendar!B95:H95)</f>
        <v>46390</v>
      </c>
      <c r="E213" cm="1">
        <f t="array" ref="E213:E219">TRANSPOSE(Calendar!B96:H96)</f>
        <v>0</v>
      </c>
      <c r="F213">
        <f t="shared" ref="F213:F276" si="30">IF(AND(MONTH(D213)=C213,D213&gt;=First_Operational_Day,D213&lt;=Last_Operational_Day,WEEKDAY(D213)&lt;&gt;1,WEEKDAY(D213)&lt;&gt;7,E213&lt;&gt;"Closed (non-operational)"),1,0)</f>
        <v>0</v>
      </c>
      <c r="K213" s="37"/>
      <c r="L213"/>
      <c r="N213" t="str">
        <f t="shared" si="27"/>
        <v/>
      </c>
      <c r="O213">
        <f t="shared" si="28"/>
        <v>0</v>
      </c>
      <c r="P213">
        <f>IF(IF(ISERROR(MATCH(K213,Rotation_Reset_Dates[Date],0)),0,1)=1,1,IF(ISBLANK(K213),"",IF(OR(rotationDays=1,K213&lt;First_Instructional_Day1),0,IF(AND(rotationDays&gt;1,K213=First_Instructional_Day1),1,IF(P212+IF(OR(N212="Instructional",N212="Not Scheduled"),1,0)&gt;rotationDays,1,P212+IF(OR(N212="Instructional",N212="Not Scheduled"),1,0))))))</f>
        <v>1</v>
      </c>
      <c r="Q213" t="str">
        <f t="shared" ref="Q213:Q226" si="31">IF(ISBLANK(K213),"",IF(K213&gt;=First_Instructional_Day1,WEEKDAY(K213)-1,0))</f>
        <v/>
      </c>
      <c r="R213" t="str">
        <f>IF(ISBLANK(K213),"",IF(N213="Operational (no students)",99,IF(N213="Instructional",IF(rotationDays=1,Q213,P213),_xlfn.XLOOKUP(N213,TimeTable_Codes[Description],TimeTable_Codes[TimetableCode]))))</f>
        <v/>
      </c>
      <c r="S213" t="str">
        <f>IF(NOT(ISBLANK(K213)),VLOOKUP(K213,term_lookups[],2),"")</f>
        <v/>
      </c>
      <c r="T213" cm="1">
        <f t="array" ref="T213">IF(ISBLANK(K213),0,_xlfn.XLOOKUP(R213&amp;S213,Daily_Totals[Day]&amp;Daily_Totals[Term],Daily_Totals[Instruction]))</f>
        <v>0</v>
      </c>
      <c r="U213" cm="1">
        <f t="array" ref="U213">IF(ISBLANK(K213),0,_xlfn.XLOOKUP(R213&amp;S213,Daily_Totals[Day]&amp;Daily_Totals[Term],Daily_Totals[Non-Instruction]))</f>
        <v>0</v>
      </c>
    </row>
    <row r="214" spans="3:21" x14ac:dyDescent="0.3">
      <c r="C214">
        <v>1</v>
      </c>
      <c r="D214" s="37">
        <v>46391</v>
      </c>
      <c r="E214">
        <v>0</v>
      </c>
      <c r="F214">
        <f t="shared" si="30"/>
        <v>0</v>
      </c>
      <c r="K214" s="37"/>
      <c r="L214"/>
      <c r="N214" t="str">
        <f t="shared" ref="N214:N226" si="32">IF(ISBLANK(K214),"",IF(L214=0,"Instructional",L214))</f>
        <v/>
      </c>
      <c r="O214">
        <f t="shared" ref="O214:O226" si="33">IF(OR(N214="Planning Day",N214="PD/In-Service Day"),1,0)</f>
        <v>0</v>
      </c>
      <c r="P214">
        <f>IF(IF(ISERROR(MATCH(K214,Rotation_Reset_Dates[Date],0)),0,1)=1,1,IF(ISBLANK(K214),"",IF(OR(rotationDays=1,K214&lt;First_Instructional_Day1),0,IF(AND(rotationDays&gt;1,K214=First_Instructional_Day1),1,IF(P213+IF(OR(N213="Instructional",N213="Not Scheduled"),1,0)&gt;rotationDays,1,P213+IF(OR(N213="Instructional",N213="Not Scheduled"),1,0))))))</f>
        <v>1</v>
      </c>
      <c r="Q214" t="str">
        <f t="shared" si="31"/>
        <v/>
      </c>
      <c r="R214" t="str">
        <f>IF(ISBLANK(K214),"",IF(N214="Operational (no students)",99,IF(N214="Instructional",IF(rotationDays=1,Q214,P214),_xlfn.XLOOKUP(N214,TimeTable_Codes[Description],TimeTable_Codes[TimetableCode]))))</f>
        <v/>
      </c>
      <c r="S214" t="str">
        <f>IF(NOT(ISBLANK(K214)),VLOOKUP(K214,term_lookups[],2),"")</f>
        <v/>
      </c>
      <c r="T214" cm="1">
        <f t="array" ref="T214">IF(ISBLANK(K214),0,_xlfn.XLOOKUP(R214&amp;S214,Daily_Totals[Day]&amp;Daily_Totals[Term],Daily_Totals[Instruction]))</f>
        <v>0</v>
      </c>
      <c r="U214" cm="1">
        <f t="array" ref="U214">IF(ISBLANK(K214),0,_xlfn.XLOOKUP(R214&amp;S214,Daily_Totals[Day]&amp;Daily_Totals[Term],Daily_Totals[Non-Instruction]))</f>
        <v>0</v>
      </c>
    </row>
    <row r="215" spans="3:21" x14ac:dyDescent="0.3">
      <c r="C215">
        <v>1</v>
      </c>
      <c r="D215" s="37">
        <v>46392</v>
      </c>
      <c r="E215">
        <v>0</v>
      </c>
      <c r="F215">
        <f t="shared" si="30"/>
        <v>0</v>
      </c>
      <c r="K215" s="37"/>
      <c r="L215"/>
      <c r="N215" t="str">
        <f t="shared" si="32"/>
        <v/>
      </c>
      <c r="O215">
        <f t="shared" si="33"/>
        <v>0</v>
      </c>
      <c r="P215">
        <f>IF(IF(ISERROR(MATCH(K215,Rotation_Reset_Dates[Date],0)),0,1)=1,1,IF(ISBLANK(K215),"",IF(OR(rotationDays=1,K215&lt;First_Instructional_Day1),0,IF(AND(rotationDays&gt;1,K215=First_Instructional_Day1),1,IF(P214+IF(OR(N214="Instructional",N214="Not Scheduled"),1,0)&gt;rotationDays,1,P214+IF(OR(N214="Instructional",N214="Not Scheduled"),1,0))))))</f>
        <v>1</v>
      </c>
      <c r="Q215" t="str">
        <f t="shared" si="31"/>
        <v/>
      </c>
      <c r="R215" t="str">
        <f>IF(ISBLANK(K215),"",IF(N215="Operational (no students)",99,IF(N215="Instructional",IF(rotationDays=1,Q215,P215),_xlfn.XLOOKUP(N215,TimeTable_Codes[Description],TimeTable_Codes[TimetableCode]))))</f>
        <v/>
      </c>
      <c r="S215" t="str">
        <f>IF(NOT(ISBLANK(K215)),VLOOKUP(K215,term_lookups[],2),"")</f>
        <v/>
      </c>
      <c r="T215" cm="1">
        <f t="array" ref="T215">IF(ISBLANK(K215),0,_xlfn.XLOOKUP(R215&amp;S215,Daily_Totals[Day]&amp;Daily_Totals[Term],Daily_Totals[Instruction]))</f>
        <v>0</v>
      </c>
      <c r="U215" cm="1">
        <f t="array" ref="U215">IF(ISBLANK(K215),0,_xlfn.XLOOKUP(R215&amp;S215,Daily_Totals[Day]&amp;Daily_Totals[Term],Daily_Totals[Non-Instruction]))</f>
        <v>0</v>
      </c>
    </row>
    <row r="216" spans="3:21" x14ac:dyDescent="0.3">
      <c r="C216">
        <v>1</v>
      </c>
      <c r="D216" s="37">
        <v>46393</v>
      </c>
      <c r="E216">
        <v>0</v>
      </c>
      <c r="F216">
        <f t="shared" si="30"/>
        <v>0</v>
      </c>
      <c r="K216" s="37"/>
      <c r="L216"/>
      <c r="N216" t="str">
        <f t="shared" si="32"/>
        <v/>
      </c>
      <c r="O216">
        <f t="shared" si="33"/>
        <v>0</v>
      </c>
      <c r="P216">
        <f>IF(IF(ISERROR(MATCH(K216,Rotation_Reset_Dates[Date],0)),0,1)=1,1,IF(ISBLANK(K216),"",IF(OR(rotationDays=1,K216&lt;First_Instructional_Day1),0,IF(AND(rotationDays&gt;1,K216=First_Instructional_Day1),1,IF(P215+IF(OR(N215="Instructional",N215="Not Scheduled"),1,0)&gt;rotationDays,1,P215+IF(OR(N215="Instructional",N215="Not Scheduled"),1,0))))))</f>
        <v>1</v>
      </c>
      <c r="Q216" t="str">
        <f t="shared" si="31"/>
        <v/>
      </c>
      <c r="R216" t="str">
        <f>IF(ISBLANK(K216),"",IF(N216="Operational (no students)",99,IF(N216="Instructional",IF(rotationDays=1,Q216,P216),_xlfn.XLOOKUP(N216,TimeTable_Codes[Description],TimeTable_Codes[TimetableCode]))))</f>
        <v/>
      </c>
      <c r="S216" t="str">
        <f>IF(NOT(ISBLANK(K216)),VLOOKUP(K216,term_lookups[],2),"")</f>
        <v/>
      </c>
      <c r="T216" cm="1">
        <f t="array" ref="T216">IF(ISBLANK(K216),0,_xlfn.XLOOKUP(R216&amp;S216,Daily_Totals[Day]&amp;Daily_Totals[Term],Daily_Totals[Instruction]))</f>
        <v>0</v>
      </c>
      <c r="U216" cm="1">
        <f t="array" ref="U216">IF(ISBLANK(K216),0,_xlfn.XLOOKUP(R216&amp;S216,Daily_Totals[Day]&amp;Daily_Totals[Term],Daily_Totals[Non-Instruction]))</f>
        <v>0</v>
      </c>
    </row>
    <row r="217" spans="3:21" x14ac:dyDescent="0.3">
      <c r="C217">
        <v>1</v>
      </c>
      <c r="D217" s="37">
        <v>46394</v>
      </c>
      <c r="E217">
        <v>0</v>
      </c>
      <c r="F217">
        <f t="shared" si="30"/>
        <v>0</v>
      </c>
      <c r="K217" s="37"/>
      <c r="L217"/>
      <c r="N217" t="str">
        <f t="shared" si="32"/>
        <v/>
      </c>
      <c r="O217">
        <f t="shared" si="33"/>
        <v>0</v>
      </c>
      <c r="P217">
        <f>IF(IF(ISERROR(MATCH(K217,Rotation_Reset_Dates[Date],0)),0,1)=1,1,IF(ISBLANK(K217),"",IF(OR(rotationDays=1,K217&lt;First_Instructional_Day1),0,IF(AND(rotationDays&gt;1,K217=First_Instructional_Day1),1,IF(P216+IF(OR(N216="Instructional",N216="Not Scheduled"),1,0)&gt;rotationDays,1,P216+IF(OR(N216="Instructional",N216="Not Scheduled"),1,0))))))</f>
        <v>1</v>
      </c>
      <c r="Q217" t="str">
        <f t="shared" si="31"/>
        <v/>
      </c>
      <c r="R217" t="str">
        <f>IF(ISBLANK(K217),"",IF(N217="Operational (no students)",99,IF(N217="Instructional",IF(rotationDays=1,Q217,P217),_xlfn.XLOOKUP(N217,TimeTable_Codes[Description],TimeTable_Codes[TimetableCode]))))</f>
        <v/>
      </c>
      <c r="S217" t="str">
        <f>IF(NOT(ISBLANK(K217)),VLOOKUP(K217,term_lookups[],2),"")</f>
        <v/>
      </c>
      <c r="T217" cm="1">
        <f t="array" ref="T217">IF(ISBLANK(K217),0,_xlfn.XLOOKUP(R217&amp;S217,Daily_Totals[Day]&amp;Daily_Totals[Term],Daily_Totals[Instruction]))</f>
        <v>0</v>
      </c>
      <c r="U217" cm="1">
        <f t="array" ref="U217">IF(ISBLANK(K217),0,_xlfn.XLOOKUP(R217&amp;S217,Daily_Totals[Day]&amp;Daily_Totals[Term],Daily_Totals[Non-Instruction]))</f>
        <v>0</v>
      </c>
    </row>
    <row r="218" spans="3:21" x14ac:dyDescent="0.3">
      <c r="C218">
        <v>1</v>
      </c>
      <c r="D218" s="37">
        <v>46395</v>
      </c>
      <c r="E218">
        <v>0</v>
      </c>
      <c r="F218">
        <f t="shared" si="30"/>
        <v>0</v>
      </c>
      <c r="K218" s="37"/>
      <c r="L218"/>
      <c r="N218" t="str">
        <f t="shared" si="32"/>
        <v/>
      </c>
      <c r="O218">
        <f t="shared" si="33"/>
        <v>0</v>
      </c>
      <c r="P218">
        <f>IF(IF(ISERROR(MATCH(K218,Rotation_Reset_Dates[Date],0)),0,1)=1,1,IF(ISBLANK(K218),"",IF(OR(rotationDays=1,K218&lt;First_Instructional_Day1),0,IF(AND(rotationDays&gt;1,K218=First_Instructional_Day1),1,IF(P217+IF(OR(N217="Instructional",N217="Not Scheduled"),1,0)&gt;rotationDays,1,P217+IF(OR(N217="Instructional",N217="Not Scheduled"),1,0))))))</f>
        <v>1</v>
      </c>
      <c r="Q218" t="str">
        <f t="shared" si="31"/>
        <v/>
      </c>
      <c r="R218" t="str">
        <f>IF(ISBLANK(K218),"",IF(N218="Operational (no students)",99,IF(N218="Instructional",IF(rotationDays=1,Q218,P218),_xlfn.XLOOKUP(N218,TimeTable_Codes[Description],TimeTable_Codes[TimetableCode]))))</f>
        <v/>
      </c>
      <c r="S218" t="str">
        <f>IF(NOT(ISBLANK(K218)),VLOOKUP(K218,term_lookups[],2),"")</f>
        <v/>
      </c>
      <c r="T218" cm="1">
        <f t="array" ref="T218">IF(ISBLANK(K218),0,_xlfn.XLOOKUP(R218&amp;S218,Daily_Totals[Day]&amp;Daily_Totals[Term],Daily_Totals[Instruction]))</f>
        <v>0</v>
      </c>
      <c r="U218" cm="1">
        <f t="array" ref="U218">IF(ISBLANK(K218),0,_xlfn.XLOOKUP(R218&amp;S218,Daily_Totals[Day]&amp;Daily_Totals[Term],Daily_Totals[Non-Instruction]))</f>
        <v>0</v>
      </c>
    </row>
    <row r="219" spans="3:21" x14ac:dyDescent="0.3">
      <c r="C219">
        <v>1</v>
      </c>
      <c r="D219" s="37">
        <v>46396</v>
      </c>
      <c r="E219">
        <v>0</v>
      </c>
      <c r="F219">
        <f t="shared" si="30"/>
        <v>0</v>
      </c>
      <c r="K219" s="37"/>
      <c r="L219"/>
      <c r="N219" t="str">
        <f t="shared" si="32"/>
        <v/>
      </c>
      <c r="O219">
        <f t="shared" si="33"/>
        <v>0</v>
      </c>
      <c r="P219">
        <f>IF(IF(ISERROR(MATCH(K219,Rotation_Reset_Dates[Date],0)),0,1)=1,1,IF(ISBLANK(K219),"",IF(OR(rotationDays=1,K219&lt;First_Instructional_Day1),0,IF(AND(rotationDays&gt;1,K219=First_Instructional_Day1),1,IF(P218+IF(OR(N218="Instructional",N218="Not Scheduled"),1,0)&gt;rotationDays,1,P218+IF(OR(N218="Instructional",N218="Not Scheduled"),1,0))))))</f>
        <v>1</v>
      </c>
      <c r="Q219" t="str">
        <f t="shared" si="31"/>
        <v/>
      </c>
      <c r="R219" t="str">
        <f>IF(ISBLANK(K219),"",IF(N219="Operational (no students)",99,IF(N219="Instructional",IF(rotationDays=1,Q219,P219),_xlfn.XLOOKUP(N219,TimeTable_Codes[Description],TimeTable_Codes[TimetableCode]))))</f>
        <v/>
      </c>
      <c r="S219" t="str">
        <f>IF(NOT(ISBLANK(K219)),VLOOKUP(K219,term_lookups[],2),"")</f>
        <v/>
      </c>
      <c r="T219" cm="1">
        <f t="array" ref="T219">IF(ISBLANK(K219),0,_xlfn.XLOOKUP(R219&amp;S219,Daily_Totals[Day]&amp;Daily_Totals[Term],Daily_Totals[Instruction]))</f>
        <v>0</v>
      </c>
      <c r="U219" cm="1">
        <f t="array" ref="U219">IF(ISBLANK(K219),0,_xlfn.XLOOKUP(R219&amp;S219,Daily_Totals[Day]&amp;Daily_Totals[Term],Daily_Totals[Non-Instruction]))</f>
        <v>0</v>
      </c>
    </row>
    <row r="220" spans="3:21" x14ac:dyDescent="0.3">
      <c r="C220">
        <v>1</v>
      </c>
      <c r="D220" s="37" cm="1">
        <f t="array" ref="D220:D226">TRANSPOSE(Calendar!B97:H97)</f>
        <v>46397</v>
      </c>
      <c r="E220" cm="1">
        <f t="array" ref="E220:E226">TRANSPOSE(Calendar!B98:H98)</f>
        <v>0</v>
      </c>
      <c r="F220">
        <f t="shared" si="30"/>
        <v>0</v>
      </c>
      <c r="K220" s="37"/>
      <c r="L220"/>
      <c r="N220" t="str">
        <f t="shared" si="32"/>
        <v/>
      </c>
      <c r="O220">
        <f t="shared" si="33"/>
        <v>0</v>
      </c>
      <c r="P220">
        <f>IF(IF(ISERROR(MATCH(K220,Rotation_Reset_Dates[Date],0)),0,1)=1,1,IF(ISBLANK(K220),"",IF(OR(rotationDays=1,K220&lt;First_Instructional_Day1),0,IF(AND(rotationDays&gt;1,K220=First_Instructional_Day1),1,IF(P219+IF(OR(N219="Instructional",N219="Not Scheduled"),1,0)&gt;rotationDays,1,P219+IF(OR(N219="Instructional",N219="Not Scheduled"),1,0))))))</f>
        <v>1</v>
      </c>
      <c r="Q220" t="str">
        <f t="shared" si="31"/>
        <v/>
      </c>
      <c r="R220" t="str">
        <f>IF(ISBLANK(K220),"",IF(N220="Operational (no students)",99,IF(N220="Instructional",IF(rotationDays=1,Q220,P220),_xlfn.XLOOKUP(N220,TimeTable_Codes[Description],TimeTable_Codes[TimetableCode]))))</f>
        <v/>
      </c>
      <c r="S220" t="str">
        <f>IF(NOT(ISBLANK(K220)),VLOOKUP(K220,term_lookups[],2),"")</f>
        <v/>
      </c>
      <c r="T220" cm="1">
        <f t="array" ref="T220">IF(ISBLANK(K220),0,_xlfn.XLOOKUP(R220&amp;S220,Daily_Totals[Day]&amp;Daily_Totals[Term],Daily_Totals[Instruction]))</f>
        <v>0</v>
      </c>
      <c r="U220" cm="1">
        <f t="array" ref="U220">IF(ISBLANK(K220),0,_xlfn.XLOOKUP(R220&amp;S220,Daily_Totals[Day]&amp;Daily_Totals[Term],Daily_Totals[Non-Instruction]))</f>
        <v>0</v>
      </c>
    </row>
    <row r="221" spans="3:21" x14ac:dyDescent="0.3">
      <c r="C221">
        <v>1</v>
      </c>
      <c r="D221" s="37">
        <v>46398</v>
      </c>
      <c r="E221">
        <v>0</v>
      </c>
      <c r="F221">
        <f t="shared" si="30"/>
        <v>0</v>
      </c>
      <c r="K221" s="37"/>
      <c r="L221"/>
      <c r="N221" t="str">
        <f t="shared" si="32"/>
        <v/>
      </c>
      <c r="O221">
        <f t="shared" si="33"/>
        <v>0</v>
      </c>
      <c r="P221">
        <f>IF(IF(ISERROR(MATCH(K221,Rotation_Reset_Dates[Date],0)),0,1)=1,1,IF(ISBLANK(K221),"",IF(OR(rotationDays=1,K221&lt;First_Instructional_Day1),0,IF(AND(rotationDays&gt;1,K221=First_Instructional_Day1),1,IF(P220+IF(OR(N220="Instructional",N220="Not Scheduled"),1,0)&gt;rotationDays,1,P220+IF(OR(N220="Instructional",N220="Not Scheduled"),1,0))))))</f>
        <v>1</v>
      </c>
      <c r="Q221" t="str">
        <f t="shared" si="31"/>
        <v/>
      </c>
      <c r="R221" t="str">
        <f>IF(ISBLANK(K221),"",IF(N221="Operational (no students)",99,IF(N221="Instructional",IF(rotationDays=1,Q221,P221),_xlfn.XLOOKUP(N221,TimeTable_Codes[Description],TimeTable_Codes[TimetableCode]))))</f>
        <v/>
      </c>
      <c r="S221" t="str">
        <f>IF(NOT(ISBLANK(K221)),VLOOKUP(K221,term_lookups[],2),"")</f>
        <v/>
      </c>
      <c r="T221" cm="1">
        <f t="array" ref="T221">IF(ISBLANK(K221),0,_xlfn.XLOOKUP(R221&amp;S221,Daily_Totals[Day]&amp;Daily_Totals[Term],Daily_Totals[Instruction]))</f>
        <v>0</v>
      </c>
      <c r="U221" cm="1">
        <f t="array" ref="U221">IF(ISBLANK(K221),0,_xlfn.XLOOKUP(R221&amp;S221,Daily_Totals[Day]&amp;Daily_Totals[Term],Daily_Totals[Non-Instruction]))</f>
        <v>0</v>
      </c>
    </row>
    <row r="222" spans="3:21" x14ac:dyDescent="0.3">
      <c r="C222">
        <v>1</v>
      </c>
      <c r="D222" s="37">
        <v>46399</v>
      </c>
      <c r="E222">
        <v>0</v>
      </c>
      <c r="F222">
        <f t="shared" si="30"/>
        <v>0</v>
      </c>
      <c r="K222" s="37"/>
      <c r="L222"/>
      <c r="N222" t="str">
        <f t="shared" si="32"/>
        <v/>
      </c>
      <c r="O222">
        <f t="shared" si="33"/>
        <v>0</v>
      </c>
      <c r="P222">
        <f>IF(IF(ISERROR(MATCH(K222,Rotation_Reset_Dates[Date],0)),0,1)=1,1,IF(ISBLANK(K222),"",IF(OR(rotationDays=1,K222&lt;First_Instructional_Day1),0,IF(AND(rotationDays&gt;1,K222=First_Instructional_Day1),1,IF(P221+IF(OR(N221="Instructional",N221="Not Scheduled"),1,0)&gt;rotationDays,1,P221+IF(OR(N221="Instructional",N221="Not Scheduled"),1,0))))))</f>
        <v>1</v>
      </c>
      <c r="Q222" t="str">
        <f t="shared" si="31"/>
        <v/>
      </c>
      <c r="R222" t="str">
        <f>IF(ISBLANK(K222),"",IF(N222="Operational (no students)",99,IF(N222="Instructional",IF(rotationDays=1,Q222,P222),_xlfn.XLOOKUP(N222,TimeTable_Codes[Description],TimeTable_Codes[TimetableCode]))))</f>
        <v/>
      </c>
      <c r="S222" t="str">
        <f>IF(NOT(ISBLANK(K222)),VLOOKUP(K222,term_lookups[],2),"")</f>
        <v/>
      </c>
      <c r="T222" cm="1">
        <f t="array" ref="T222">IF(ISBLANK(K222),0,_xlfn.XLOOKUP(R222&amp;S222,Daily_Totals[Day]&amp;Daily_Totals[Term],Daily_Totals[Instruction]))</f>
        <v>0</v>
      </c>
      <c r="U222" cm="1">
        <f t="array" ref="U222">IF(ISBLANK(K222),0,_xlfn.XLOOKUP(R222&amp;S222,Daily_Totals[Day]&amp;Daily_Totals[Term],Daily_Totals[Non-Instruction]))</f>
        <v>0</v>
      </c>
    </row>
    <row r="223" spans="3:21" x14ac:dyDescent="0.3">
      <c r="C223">
        <v>1</v>
      </c>
      <c r="D223" s="37">
        <v>46400</v>
      </c>
      <c r="E223">
        <v>0</v>
      </c>
      <c r="F223">
        <f t="shared" si="30"/>
        <v>0</v>
      </c>
      <c r="K223" s="37"/>
      <c r="L223"/>
      <c r="N223" t="str">
        <f t="shared" si="32"/>
        <v/>
      </c>
      <c r="O223">
        <f t="shared" si="33"/>
        <v>0</v>
      </c>
      <c r="P223">
        <f>IF(IF(ISERROR(MATCH(K223,Rotation_Reset_Dates[Date],0)),0,1)=1,1,IF(ISBLANK(K223),"",IF(OR(rotationDays=1,K223&lt;First_Instructional_Day1),0,IF(AND(rotationDays&gt;1,K223=First_Instructional_Day1),1,IF(P222+IF(OR(N222="Instructional",N222="Not Scheduled"),1,0)&gt;rotationDays,1,P222+IF(OR(N222="Instructional",N222="Not Scheduled"),1,0))))))</f>
        <v>1</v>
      </c>
      <c r="Q223" t="str">
        <f t="shared" si="31"/>
        <v/>
      </c>
      <c r="R223" t="str">
        <f>IF(ISBLANK(K223),"",IF(N223="Operational (no students)",99,IF(N223="Instructional",IF(rotationDays=1,Q223,P223),_xlfn.XLOOKUP(N223,TimeTable_Codes[Description],TimeTable_Codes[TimetableCode]))))</f>
        <v/>
      </c>
      <c r="S223" t="str">
        <f>IF(NOT(ISBLANK(K223)),VLOOKUP(K223,term_lookups[],2),"")</f>
        <v/>
      </c>
      <c r="T223" cm="1">
        <f t="array" ref="T223">IF(ISBLANK(K223),0,_xlfn.XLOOKUP(R223&amp;S223,Daily_Totals[Day]&amp;Daily_Totals[Term],Daily_Totals[Instruction]))</f>
        <v>0</v>
      </c>
      <c r="U223" cm="1">
        <f t="array" ref="U223">IF(ISBLANK(K223),0,_xlfn.XLOOKUP(R223&amp;S223,Daily_Totals[Day]&amp;Daily_Totals[Term],Daily_Totals[Non-Instruction]))</f>
        <v>0</v>
      </c>
    </row>
    <row r="224" spans="3:21" x14ac:dyDescent="0.3">
      <c r="C224">
        <v>1</v>
      </c>
      <c r="D224" s="37">
        <v>46401</v>
      </c>
      <c r="E224">
        <v>0</v>
      </c>
      <c r="F224">
        <f t="shared" si="30"/>
        <v>0</v>
      </c>
      <c r="K224" s="37"/>
      <c r="L224"/>
      <c r="N224" t="str">
        <f t="shared" si="32"/>
        <v/>
      </c>
      <c r="O224">
        <f t="shared" si="33"/>
        <v>0</v>
      </c>
      <c r="P224">
        <f>IF(IF(ISERROR(MATCH(K224,Rotation_Reset_Dates[Date],0)),0,1)=1,1,IF(ISBLANK(K224),"",IF(OR(rotationDays=1,K224&lt;First_Instructional_Day1),0,IF(AND(rotationDays&gt;1,K224=First_Instructional_Day1),1,IF(P223+IF(OR(N223="Instructional",N223="Not Scheduled"),1,0)&gt;rotationDays,1,P223+IF(OR(N223="Instructional",N223="Not Scheduled"),1,0))))))</f>
        <v>1</v>
      </c>
      <c r="Q224" t="str">
        <f t="shared" si="31"/>
        <v/>
      </c>
      <c r="R224" t="str">
        <f>IF(ISBLANK(K224),"",IF(N224="Operational (no students)",99,IF(N224="Instructional",IF(rotationDays=1,Q224,P224),_xlfn.XLOOKUP(N224,TimeTable_Codes[Description],TimeTable_Codes[TimetableCode]))))</f>
        <v/>
      </c>
      <c r="S224" t="str">
        <f>IF(NOT(ISBLANK(K224)),VLOOKUP(K224,term_lookups[],2),"")</f>
        <v/>
      </c>
      <c r="T224" cm="1">
        <f t="array" ref="T224">IF(ISBLANK(K224),0,_xlfn.XLOOKUP(R224&amp;S224,Daily_Totals[Day]&amp;Daily_Totals[Term],Daily_Totals[Instruction]))</f>
        <v>0</v>
      </c>
      <c r="U224" cm="1">
        <f t="array" ref="U224">IF(ISBLANK(K224),0,_xlfn.XLOOKUP(R224&amp;S224,Daily_Totals[Day]&amp;Daily_Totals[Term],Daily_Totals[Non-Instruction]))</f>
        <v>0</v>
      </c>
    </row>
    <row r="225" spans="3:21" x14ac:dyDescent="0.3">
      <c r="C225">
        <v>1</v>
      </c>
      <c r="D225" s="37">
        <v>46402</v>
      </c>
      <c r="E225">
        <v>0</v>
      </c>
      <c r="F225">
        <f t="shared" si="30"/>
        <v>0</v>
      </c>
      <c r="K225" s="37"/>
      <c r="L225"/>
      <c r="N225" t="str">
        <f t="shared" si="32"/>
        <v/>
      </c>
      <c r="O225">
        <f t="shared" si="33"/>
        <v>0</v>
      </c>
      <c r="P225">
        <f>IF(IF(ISERROR(MATCH(K225,Rotation_Reset_Dates[Date],0)),0,1)=1,1,IF(ISBLANK(K225),"",IF(OR(rotationDays=1,K225&lt;First_Instructional_Day1),0,IF(AND(rotationDays&gt;1,K225=First_Instructional_Day1),1,IF(P224+IF(OR(N224="Instructional",N224="Not Scheduled"),1,0)&gt;rotationDays,1,P224+IF(OR(N224="Instructional",N224="Not Scheduled"),1,0))))))</f>
        <v>1</v>
      </c>
      <c r="Q225" t="str">
        <f t="shared" si="31"/>
        <v/>
      </c>
      <c r="R225" t="str">
        <f>IF(ISBLANK(K225),"",IF(N225="Operational (no students)",99,IF(N225="Instructional",IF(rotationDays=1,Q225,P225),_xlfn.XLOOKUP(N225,TimeTable_Codes[Description],TimeTable_Codes[TimetableCode]))))</f>
        <v/>
      </c>
      <c r="S225" t="str">
        <f>IF(NOT(ISBLANK(K225)),VLOOKUP(K225,term_lookups[],2),"")</f>
        <v/>
      </c>
      <c r="T225" cm="1">
        <f t="array" ref="T225">IF(ISBLANK(K225),0,_xlfn.XLOOKUP(R225&amp;S225,Daily_Totals[Day]&amp;Daily_Totals[Term],Daily_Totals[Instruction]))</f>
        <v>0</v>
      </c>
      <c r="U225" cm="1">
        <f t="array" ref="U225">IF(ISBLANK(K225),0,_xlfn.XLOOKUP(R225&amp;S225,Daily_Totals[Day]&amp;Daily_Totals[Term],Daily_Totals[Non-Instruction]))</f>
        <v>0</v>
      </c>
    </row>
    <row r="226" spans="3:21" x14ac:dyDescent="0.3">
      <c r="C226">
        <v>1</v>
      </c>
      <c r="D226" s="37">
        <v>46403</v>
      </c>
      <c r="E226">
        <v>0</v>
      </c>
      <c r="F226">
        <f t="shared" si="30"/>
        <v>0</v>
      </c>
      <c r="K226" s="37"/>
      <c r="L226"/>
      <c r="N226" t="str">
        <f t="shared" si="32"/>
        <v/>
      </c>
      <c r="O226">
        <f t="shared" si="33"/>
        <v>0</v>
      </c>
      <c r="P226">
        <f>IF(IF(ISERROR(MATCH(K226,Rotation_Reset_Dates[Date],0)),0,1)=1,1,IF(ISBLANK(K226),"",IF(OR(rotationDays=1,K226&lt;First_Instructional_Day1),0,IF(AND(rotationDays&gt;1,K226=First_Instructional_Day1),1,IF(P225+IF(OR(N225="Instructional",N225="Not Scheduled"),1,0)&gt;rotationDays,1,P225+IF(OR(N225="Instructional",N225="Not Scheduled"),1,0))))))</f>
        <v>1</v>
      </c>
      <c r="Q226" t="str">
        <f t="shared" si="31"/>
        <v/>
      </c>
      <c r="R226" t="str">
        <f>IF(ISBLANK(K226),"",IF(N226="Operational (no students)",99,IF(N226="Instructional",IF(rotationDays=1,Q226,P226),_xlfn.XLOOKUP(N226,TimeTable_Codes[Description],TimeTable_Codes[TimetableCode]))))</f>
        <v/>
      </c>
      <c r="S226" t="str">
        <f>IF(NOT(ISBLANK(K226)),VLOOKUP(K226,term_lookups[],2),"")</f>
        <v/>
      </c>
      <c r="T226" cm="1">
        <f t="array" ref="T226">IF(ISBLANK(K226),0,_xlfn.XLOOKUP(R226&amp;S226,Daily_Totals[Day]&amp;Daily_Totals[Term],Daily_Totals[Instruction]))</f>
        <v>0</v>
      </c>
      <c r="U226" cm="1">
        <f t="array" ref="U226">IF(ISBLANK(K226),0,_xlfn.XLOOKUP(R226&amp;S226,Daily_Totals[Day]&amp;Daily_Totals[Term],Daily_Totals[Non-Instruction]))</f>
        <v>0</v>
      </c>
    </row>
    <row r="227" spans="3:21" x14ac:dyDescent="0.3">
      <c r="C227">
        <v>1</v>
      </c>
      <c r="D227" s="37" cm="1">
        <f t="array" ref="D227:D233">TRANSPOSE(Calendar!B99:H99)</f>
        <v>46404</v>
      </c>
      <c r="E227" cm="1">
        <f t="array" ref="E227:E233">TRANSPOSE(Calendar!B100:H100)</f>
        <v>0</v>
      </c>
      <c r="F227">
        <f t="shared" si="30"/>
        <v>0</v>
      </c>
      <c r="K227" s="37"/>
      <c r="L227"/>
    </row>
    <row r="228" spans="3:21" x14ac:dyDescent="0.3">
      <c r="C228">
        <v>1</v>
      </c>
      <c r="D228" s="37">
        <v>46405</v>
      </c>
      <c r="E228">
        <v>0</v>
      </c>
      <c r="F228">
        <f t="shared" si="30"/>
        <v>0</v>
      </c>
      <c r="K228" s="37"/>
      <c r="L228"/>
    </row>
    <row r="229" spans="3:21" x14ac:dyDescent="0.3">
      <c r="C229">
        <v>1</v>
      </c>
      <c r="D229" s="37">
        <v>46406</v>
      </c>
      <c r="E229">
        <v>0</v>
      </c>
      <c r="F229">
        <f t="shared" si="30"/>
        <v>0</v>
      </c>
      <c r="K229" s="37"/>
      <c r="L229"/>
    </row>
    <row r="230" spans="3:21" x14ac:dyDescent="0.3">
      <c r="C230">
        <v>1</v>
      </c>
      <c r="D230" s="37">
        <v>46407</v>
      </c>
      <c r="E230">
        <v>0</v>
      </c>
      <c r="F230">
        <f t="shared" si="30"/>
        <v>0</v>
      </c>
      <c r="K230" s="37"/>
      <c r="L230"/>
    </row>
    <row r="231" spans="3:21" x14ac:dyDescent="0.3">
      <c r="C231">
        <v>1</v>
      </c>
      <c r="D231" s="37">
        <v>46408</v>
      </c>
      <c r="E231">
        <v>0</v>
      </c>
      <c r="F231">
        <f t="shared" si="30"/>
        <v>0</v>
      </c>
      <c r="K231" s="37"/>
      <c r="L231"/>
    </row>
    <row r="232" spans="3:21" x14ac:dyDescent="0.3">
      <c r="C232">
        <v>1</v>
      </c>
      <c r="D232" s="37">
        <v>46409</v>
      </c>
      <c r="E232">
        <v>0</v>
      </c>
      <c r="F232">
        <f t="shared" si="30"/>
        <v>0</v>
      </c>
      <c r="K232" s="37"/>
      <c r="L232"/>
    </row>
    <row r="233" spans="3:21" x14ac:dyDescent="0.3">
      <c r="C233">
        <v>1</v>
      </c>
      <c r="D233" s="37">
        <v>46410</v>
      </c>
      <c r="E233">
        <v>0</v>
      </c>
      <c r="F233">
        <f t="shared" si="30"/>
        <v>0</v>
      </c>
      <c r="K233" s="37"/>
      <c r="L233"/>
    </row>
    <row r="234" spans="3:21" x14ac:dyDescent="0.3">
      <c r="C234">
        <v>1</v>
      </c>
      <c r="D234" s="37" cm="1">
        <f t="array" ref="D234:D240">TRANSPOSE(Calendar!B101:H101)</f>
        <v>46411</v>
      </c>
      <c r="E234" cm="1">
        <f t="array" ref="E234:E240">TRANSPOSE(Calendar!B102:H102)</f>
        <v>0</v>
      </c>
      <c r="F234">
        <f t="shared" si="30"/>
        <v>0</v>
      </c>
      <c r="K234" s="37"/>
      <c r="L234"/>
    </row>
    <row r="235" spans="3:21" x14ac:dyDescent="0.3">
      <c r="C235">
        <v>1</v>
      </c>
      <c r="D235" s="37">
        <v>46412</v>
      </c>
      <c r="E235">
        <v>0</v>
      </c>
      <c r="F235">
        <f t="shared" si="30"/>
        <v>0</v>
      </c>
      <c r="K235" s="37"/>
      <c r="L235"/>
    </row>
    <row r="236" spans="3:21" x14ac:dyDescent="0.3">
      <c r="C236">
        <v>1</v>
      </c>
      <c r="D236" s="37">
        <v>46413</v>
      </c>
      <c r="E236" s="116">
        <v>0</v>
      </c>
      <c r="F236">
        <f t="shared" si="30"/>
        <v>0</v>
      </c>
      <c r="K236" s="37"/>
      <c r="L236"/>
    </row>
    <row r="237" spans="3:21" x14ac:dyDescent="0.3">
      <c r="C237">
        <v>1</v>
      </c>
      <c r="D237" s="37">
        <v>46414</v>
      </c>
      <c r="E237">
        <v>0</v>
      </c>
      <c r="F237">
        <f t="shared" si="30"/>
        <v>0</v>
      </c>
      <c r="K237" s="37"/>
      <c r="L237"/>
    </row>
    <row r="238" spans="3:21" x14ac:dyDescent="0.3">
      <c r="C238">
        <v>1</v>
      </c>
      <c r="D238" s="37">
        <v>46415</v>
      </c>
      <c r="E238">
        <v>0</v>
      </c>
      <c r="F238">
        <f t="shared" si="30"/>
        <v>0</v>
      </c>
      <c r="K238" s="37"/>
      <c r="L238"/>
    </row>
    <row r="239" spans="3:21" x14ac:dyDescent="0.3">
      <c r="C239">
        <v>1</v>
      </c>
      <c r="D239" s="37">
        <v>46416</v>
      </c>
      <c r="E239">
        <v>0</v>
      </c>
      <c r="F239">
        <f t="shared" si="30"/>
        <v>0</v>
      </c>
      <c r="K239" s="37"/>
      <c r="L239"/>
    </row>
    <row r="240" spans="3:21" x14ac:dyDescent="0.3">
      <c r="C240">
        <v>1</v>
      </c>
      <c r="D240" s="37">
        <v>46417</v>
      </c>
      <c r="E240">
        <v>0</v>
      </c>
      <c r="F240">
        <f t="shared" si="30"/>
        <v>0</v>
      </c>
      <c r="K240" s="37"/>
      <c r="L240"/>
    </row>
    <row r="241" spans="3:12" x14ac:dyDescent="0.3">
      <c r="C241">
        <v>1</v>
      </c>
      <c r="D241" s="37" cm="1">
        <f t="array" ref="D241:D242">TRANSPOSE(Calendar!B103:C103)</f>
        <v>46418</v>
      </c>
      <c r="E241" cm="1">
        <f t="array" ref="E241">TRANSPOSE(Calendar!B104:B104)</f>
        <v>0</v>
      </c>
      <c r="F241">
        <f t="shared" si="30"/>
        <v>0</v>
      </c>
      <c r="K241" s="37"/>
      <c r="L241"/>
    </row>
    <row r="242" spans="3:12" x14ac:dyDescent="0.3">
      <c r="C242">
        <v>1</v>
      </c>
      <c r="D242" s="37">
        <v>46419</v>
      </c>
      <c r="E242"/>
      <c r="F242">
        <f t="shared" si="30"/>
        <v>0</v>
      </c>
      <c r="K242" s="37"/>
      <c r="L242"/>
    </row>
    <row r="243" spans="3:12" x14ac:dyDescent="0.3">
      <c r="C243">
        <v>2</v>
      </c>
      <c r="D243" s="37" cm="1">
        <f t="array" ref="D243:D249">TRANSPOSE(Calendar!B109:H109)</f>
        <v>46418</v>
      </c>
      <c r="E243" cm="1">
        <f t="array" ref="E243:E249">TRANSPOSE(Calendar!B110:H110)</f>
        <v>0</v>
      </c>
      <c r="F243">
        <f t="shared" si="30"/>
        <v>0</v>
      </c>
      <c r="K243" s="37"/>
      <c r="L243"/>
    </row>
    <row r="244" spans="3:12" x14ac:dyDescent="0.3">
      <c r="C244">
        <v>2</v>
      </c>
      <c r="D244" s="37">
        <v>46419</v>
      </c>
      <c r="E244">
        <v>0</v>
      </c>
      <c r="F244">
        <f t="shared" si="30"/>
        <v>0</v>
      </c>
      <c r="K244" s="37"/>
      <c r="L244"/>
    </row>
    <row r="245" spans="3:12" x14ac:dyDescent="0.3">
      <c r="C245">
        <v>2</v>
      </c>
      <c r="D245" s="37">
        <v>46420</v>
      </c>
      <c r="E245">
        <v>0</v>
      </c>
      <c r="F245">
        <f t="shared" si="30"/>
        <v>0</v>
      </c>
      <c r="K245" s="37"/>
      <c r="L245"/>
    </row>
    <row r="246" spans="3:12" x14ac:dyDescent="0.3">
      <c r="C246">
        <v>2</v>
      </c>
      <c r="D246" s="37">
        <v>46421</v>
      </c>
      <c r="E246">
        <v>0</v>
      </c>
      <c r="F246">
        <f t="shared" si="30"/>
        <v>0</v>
      </c>
      <c r="K246" s="37"/>
      <c r="L246"/>
    </row>
    <row r="247" spans="3:12" x14ac:dyDescent="0.3">
      <c r="C247">
        <v>2</v>
      </c>
      <c r="D247" s="37">
        <v>46422</v>
      </c>
      <c r="E247">
        <v>0</v>
      </c>
      <c r="F247">
        <f t="shared" si="30"/>
        <v>0</v>
      </c>
      <c r="K247" s="37"/>
      <c r="L247"/>
    </row>
    <row r="248" spans="3:12" x14ac:dyDescent="0.3">
      <c r="C248">
        <v>2</v>
      </c>
      <c r="D248" s="37">
        <v>46423</v>
      </c>
      <c r="E248">
        <v>0</v>
      </c>
      <c r="F248">
        <f t="shared" si="30"/>
        <v>0</v>
      </c>
      <c r="K248" s="37"/>
      <c r="L248"/>
    </row>
    <row r="249" spans="3:12" x14ac:dyDescent="0.3">
      <c r="C249">
        <v>2</v>
      </c>
      <c r="D249" s="37">
        <v>46424</v>
      </c>
      <c r="E249">
        <v>0</v>
      </c>
      <c r="F249">
        <f t="shared" si="30"/>
        <v>0</v>
      </c>
      <c r="K249" s="37"/>
      <c r="L249"/>
    </row>
    <row r="250" spans="3:12" x14ac:dyDescent="0.3">
      <c r="C250">
        <v>2</v>
      </c>
      <c r="D250" s="37" cm="1">
        <f t="array" ref="D250:D256">TRANSPOSE(Calendar!B111:H111)</f>
        <v>46425</v>
      </c>
      <c r="E250" cm="1">
        <f t="array" ref="E250:E256">TRANSPOSE(Calendar!B112:H112)</f>
        <v>0</v>
      </c>
      <c r="F250">
        <f t="shared" si="30"/>
        <v>0</v>
      </c>
      <c r="K250" s="37"/>
      <c r="L250"/>
    </row>
    <row r="251" spans="3:12" x14ac:dyDescent="0.3">
      <c r="C251">
        <v>2</v>
      </c>
      <c r="D251" s="37">
        <v>46426</v>
      </c>
      <c r="E251">
        <v>0</v>
      </c>
      <c r="F251">
        <f t="shared" si="30"/>
        <v>0</v>
      </c>
      <c r="K251" s="37"/>
      <c r="L251"/>
    </row>
    <row r="252" spans="3:12" x14ac:dyDescent="0.3">
      <c r="C252">
        <v>2</v>
      </c>
      <c r="D252" s="37">
        <v>46427</v>
      </c>
      <c r="E252">
        <v>0</v>
      </c>
      <c r="F252">
        <f t="shared" si="30"/>
        <v>0</v>
      </c>
      <c r="K252" s="37"/>
      <c r="L252"/>
    </row>
    <row r="253" spans="3:12" x14ac:dyDescent="0.3">
      <c r="C253">
        <v>2</v>
      </c>
      <c r="D253" s="37">
        <v>46428</v>
      </c>
      <c r="E253">
        <v>0</v>
      </c>
      <c r="F253">
        <f t="shared" si="30"/>
        <v>0</v>
      </c>
      <c r="K253" s="37"/>
      <c r="L253"/>
    </row>
    <row r="254" spans="3:12" x14ac:dyDescent="0.3">
      <c r="C254">
        <v>2</v>
      </c>
      <c r="D254" s="37">
        <v>46429</v>
      </c>
      <c r="E254">
        <v>0</v>
      </c>
      <c r="F254">
        <f t="shared" si="30"/>
        <v>0</v>
      </c>
      <c r="K254" s="37"/>
      <c r="L254"/>
    </row>
    <row r="255" spans="3:12" x14ac:dyDescent="0.3">
      <c r="C255">
        <v>2</v>
      </c>
      <c r="D255" s="37">
        <v>46430</v>
      </c>
      <c r="E255">
        <v>0</v>
      </c>
      <c r="F255">
        <f t="shared" si="30"/>
        <v>0</v>
      </c>
      <c r="K255" s="37"/>
      <c r="L255"/>
    </row>
    <row r="256" spans="3:12" x14ac:dyDescent="0.3">
      <c r="C256">
        <v>2</v>
      </c>
      <c r="D256" s="37">
        <v>46431</v>
      </c>
      <c r="E256">
        <v>0</v>
      </c>
      <c r="F256">
        <f t="shared" si="30"/>
        <v>0</v>
      </c>
      <c r="K256" s="37"/>
      <c r="L256"/>
    </row>
    <row r="257" spans="3:12" x14ac:dyDescent="0.3">
      <c r="C257">
        <v>2</v>
      </c>
      <c r="D257" s="37" cm="1">
        <f t="array" ref="D257:D263">TRANSPOSE(Calendar!B113:H113)</f>
        <v>46432</v>
      </c>
      <c r="E257" cm="1">
        <f t="array" ref="E257:E263">TRANSPOSE(Calendar!B114:H114)</f>
        <v>0</v>
      </c>
      <c r="F257">
        <f t="shared" si="30"/>
        <v>0</v>
      </c>
      <c r="K257" s="37"/>
      <c r="L257"/>
    </row>
    <row r="258" spans="3:12" x14ac:dyDescent="0.3">
      <c r="C258">
        <v>2</v>
      </c>
      <c r="D258" s="37">
        <v>46433</v>
      </c>
      <c r="E258" t="str">
        <v>Closed (non-operational)</v>
      </c>
      <c r="F258">
        <f t="shared" si="30"/>
        <v>0</v>
      </c>
      <c r="K258" s="37"/>
      <c r="L258"/>
    </row>
    <row r="259" spans="3:12" x14ac:dyDescent="0.3">
      <c r="C259">
        <v>2</v>
      </c>
      <c r="D259" s="37">
        <v>46434</v>
      </c>
      <c r="E259">
        <v>0</v>
      </c>
      <c r="F259">
        <f t="shared" si="30"/>
        <v>0</v>
      </c>
      <c r="K259" s="37"/>
      <c r="L259"/>
    </row>
    <row r="260" spans="3:12" x14ac:dyDescent="0.3">
      <c r="C260">
        <v>2</v>
      </c>
      <c r="D260" s="37">
        <v>46435</v>
      </c>
      <c r="E260">
        <v>0</v>
      </c>
      <c r="F260">
        <f t="shared" si="30"/>
        <v>0</v>
      </c>
      <c r="K260" s="37"/>
      <c r="L260"/>
    </row>
    <row r="261" spans="3:12" x14ac:dyDescent="0.3">
      <c r="C261">
        <v>2</v>
      </c>
      <c r="D261" s="37">
        <v>46436</v>
      </c>
      <c r="E261">
        <v>0</v>
      </c>
      <c r="F261">
        <f t="shared" si="30"/>
        <v>0</v>
      </c>
      <c r="K261" s="37"/>
      <c r="L261"/>
    </row>
    <row r="262" spans="3:12" x14ac:dyDescent="0.3">
      <c r="C262">
        <v>2</v>
      </c>
      <c r="D262" s="37">
        <v>46437</v>
      </c>
      <c r="E262">
        <v>0</v>
      </c>
      <c r="F262">
        <f t="shared" si="30"/>
        <v>0</v>
      </c>
      <c r="K262" s="37"/>
      <c r="L262"/>
    </row>
    <row r="263" spans="3:12" x14ac:dyDescent="0.3">
      <c r="C263">
        <v>2</v>
      </c>
      <c r="D263" s="37">
        <v>46438</v>
      </c>
      <c r="E263">
        <v>0</v>
      </c>
      <c r="F263">
        <f t="shared" si="30"/>
        <v>0</v>
      </c>
      <c r="K263" s="37"/>
      <c r="L263"/>
    </row>
    <row r="264" spans="3:12" x14ac:dyDescent="0.3">
      <c r="C264">
        <v>2</v>
      </c>
      <c r="D264" s="37" cm="1">
        <f t="array" ref="D264:D270">TRANSPOSE(Calendar!B115:H115)</f>
        <v>46439</v>
      </c>
      <c r="E264" cm="1">
        <f t="array" ref="E264:E270">TRANSPOSE(Calendar!B116:H116)</f>
        <v>0</v>
      </c>
      <c r="F264">
        <f t="shared" si="30"/>
        <v>0</v>
      </c>
      <c r="K264" s="37"/>
      <c r="L264"/>
    </row>
    <row r="265" spans="3:12" x14ac:dyDescent="0.3">
      <c r="C265">
        <v>2</v>
      </c>
      <c r="D265" s="37">
        <v>46440</v>
      </c>
      <c r="E265">
        <v>0</v>
      </c>
      <c r="F265">
        <f t="shared" si="30"/>
        <v>0</v>
      </c>
      <c r="K265" s="37"/>
      <c r="L265"/>
    </row>
    <row r="266" spans="3:12" x14ac:dyDescent="0.3">
      <c r="C266">
        <v>2</v>
      </c>
      <c r="D266" s="37">
        <v>46441</v>
      </c>
      <c r="E266">
        <v>0</v>
      </c>
      <c r="F266">
        <f t="shared" si="30"/>
        <v>0</v>
      </c>
      <c r="K266" s="37"/>
      <c r="L266"/>
    </row>
    <row r="267" spans="3:12" x14ac:dyDescent="0.3">
      <c r="C267">
        <v>2</v>
      </c>
      <c r="D267" s="37">
        <v>46442</v>
      </c>
      <c r="E267">
        <v>0</v>
      </c>
      <c r="F267">
        <f t="shared" si="30"/>
        <v>0</v>
      </c>
      <c r="K267" s="37"/>
      <c r="L267"/>
    </row>
    <row r="268" spans="3:12" x14ac:dyDescent="0.3">
      <c r="C268">
        <v>2</v>
      </c>
      <c r="D268" s="37">
        <v>46443</v>
      </c>
      <c r="E268">
        <v>0</v>
      </c>
      <c r="F268">
        <f t="shared" si="30"/>
        <v>0</v>
      </c>
      <c r="K268" s="37"/>
      <c r="L268"/>
    </row>
    <row r="269" spans="3:12" x14ac:dyDescent="0.3">
      <c r="C269">
        <v>2</v>
      </c>
      <c r="D269" s="37">
        <v>46444</v>
      </c>
      <c r="E269">
        <v>0</v>
      </c>
      <c r="F269">
        <f t="shared" si="30"/>
        <v>0</v>
      </c>
      <c r="K269" s="37"/>
      <c r="L269"/>
    </row>
    <row r="270" spans="3:12" x14ac:dyDescent="0.3">
      <c r="C270">
        <v>2</v>
      </c>
      <c r="D270" s="37">
        <v>46445</v>
      </c>
      <c r="E270">
        <v>0</v>
      </c>
      <c r="F270">
        <f t="shared" si="30"/>
        <v>0</v>
      </c>
      <c r="K270" s="37"/>
      <c r="L270"/>
    </row>
    <row r="271" spans="3:12" x14ac:dyDescent="0.3">
      <c r="C271">
        <v>2</v>
      </c>
      <c r="D271" s="37" cm="1">
        <f t="array" ref="D271:D277">TRANSPOSE(Calendar!B117:H117)</f>
        <v>46446</v>
      </c>
      <c r="E271" cm="1">
        <f t="array" ref="E271:E277">TRANSPOSE(Calendar!B118:H118)</f>
        <v>0</v>
      </c>
      <c r="F271">
        <f t="shared" si="30"/>
        <v>0</v>
      </c>
      <c r="K271" s="37"/>
      <c r="L271"/>
    </row>
    <row r="272" spans="3:12" x14ac:dyDescent="0.3">
      <c r="C272">
        <v>2</v>
      </c>
      <c r="D272" s="37">
        <v>46447</v>
      </c>
      <c r="E272">
        <v>0</v>
      </c>
      <c r="F272">
        <f t="shared" si="30"/>
        <v>0</v>
      </c>
      <c r="K272" s="37"/>
      <c r="L272"/>
    </row>
    <row r="273" spans="3:12" x14ac:dyDescent="0.3">
      <c r="C273">
        <v>2</v>
      </c>
      <c r="D273" s="37">
        <v>46448</v>
      </c>
      <c r="E273">
        <v>0</v>
      </c>
      <c r="F273">
        <f t="shared" si="30"/>
        <v>0</v>
      </c>
      <c r="K273" s="37"/>
      <c r="L273"/>
    </row>
    <row r="274" spans="3:12" x14ac:dyDescent="0.3">
      <c r="C274">
        <v>2</v>
      </c>
      <c r="D274" s="37">
        <v>46449</v>
      </c>
      <c r="E274">
        <v>0</v>
      </c>
      <c r="F274">
        <f t="shared" si="30"/>
        <v>0</v>
      </c>
      <c r="K274" s="37"/>
      <c r="L274"/>
    </row>
    <row r="275" spans="3:12" x14ac:dyDescent="0.3">
      <c r="C275">
        <v>2</v>
      </c>
      <c r="D275" s="37">
        <v>46450</v>
      </c>
      <c r="E275">
        <v>0</v>
      </c>
      <c r="F275">
        <f t="shared" si="30"/>
        <v>0</v>
      </c>
      <c r="K275" s="37"/>
      <c r="L275"/>
    </row>
    <row r="276" spans="3:12" x14ac:dyDescent="0.3">
      <c r="C276">
        <v>2</v>
      </c>
      <c r="D276" s="37">
        <v>46451</v>
      </c>
      <c r="E276">
        <v>0</v>
      </c>
      <c r="F276">
        <f t="shared" si="30"/>
        <v>0</v>
      </c>
      <c r="K276" s="37"/>
      <c r="L276"/>
    </row>
    <row r="277" spans="3:12" x14ac:dyDescent="0.3">
      <c r="C277">
        <v>2</v>
      </c>
      <c r="D277" s="37">
        <v>46452</v>
      </c>
      <c r="E277">
        <v>0</v>
      </c>
      <c r="F277">
        <f t="shared" ref="F277:F340" si="34">IF(AND(MONTH(D277)=C277,D277&gt;=First_Operational_Day,D277&lt;=Last_Operational_Day,WEEKDAY(D277)&lt;&gt;1,WEEKDAY(D277)&lt;&gt;7,E277&lt;&gt;"Closed (non-operational)"),1,0)</f>
        <v>0</v>
      </c>
      <c r="K277" s="37"/>
      <c r="L277"/>
    </row>
    <row r="278" spans="3:12" x14ac:dyDescent="0.3">
      <c r="C278">
        <v>2</v>
      </c>
      <c r="D278" s="37" cm="1">
        <f t="array" ref="D278:D279">TRANSPOSE(Calendar!B119:C119)</f>
        <v>46453</v>
      </c>
      <c r="E278" cm="1">
        <f t="array" ref="E278">TRANSPOSE(Calendar!B120:B120)</f>
        <v>0</v>
      </c>
      <c r="F278">
        <f t="shared" si="34"/>
        <v>0</v>
      </c>
      <c r="K278" s="37"/>
      <c r="L278"/>
    </row>
    <row r="279" spans="3:12" x14ac:dyDescent="0.3">
      <c r="C279">
        <v>2</v>
      </c>
      <c r="D279" s="37">
        <v>46454</v>
      </c>
      <c r="E279"/>
      <c r="F279">
        <f t="shared" si="34"/>
        <v>0</v>
      </c>
      <c r="K279" s="37"/>
      <c r="L279"/>
    </row>
    <row r="280" spans="3:12" x14ac:dyDescent="0.3">
      <c r="C280">
        <v>3</v>
      </c>
      <c r="D280" s="37" cm="1">
        <f t="array" ref="D280:D286">TRANSPOSE(Calendar!B125:H125)</f>
        <v>46446</v>
      </c>
      <c r="E280" cm="1">
        <f t="array" ref="E280:E286">TRANSPOSE(Calendar!B126:H126)</f>
        <v>0</v>
      </c>
      <c r="F280">
        <f t="shared" si="34"/>
        <v>0</v>
      </c>
      <c r="K280" s="37"/>
      <c r="L280"/>
    </row>
    <row r="281" spans="3:12" x14ac:dyDescent="0.3">
      <c r="C281">
        <v>3</v>
      </c>
      <c r="D281" s="37">
        <v>46447</v>
      </c>
      <c r="E281">
        <v>0</v>
      </c>
      <c r="F281">
        <f t="shared" si="34"/>
        <v>0</v>
      </c>
      <c r="K281" s="37"/>
      <c r="L281"/>
    </row>
    <row r="282" spans="3:12" x14ac:dyDescent="0.3">
      <c r="C282">
        <v>3</v>
      </c>
      <c r="D282" s="37">
        <v>46448</v>
      </c>
      <c r="E282">
        <v>0</v>
      </c>
      <c r="F282">
        <f t="shared" si="34"/>
        <v>0</v>
      </c>
      <c r="K282" s="37"/>
      <c r="L282"/>
    </row>
    <row r="283" spans="3:12" x14ac:dyDescent="0.3">
      <c r="C283">
        <v>3</v>
      </c>
      <c r="D283" s="37">
        <v>46449</v>
      </c>
      <c r="E283">
        <v>0</v>
      </c>
      <c r="F283">
        <f t="shared" si="34"/>
        <v>0</v>
      </c>
      <c r="K283" s="37"/>
      <c r="L283"/>
    </row>
    <row r="284" spans="3:12" x14ac:dyDescent="0.3">
      <c r="C284">
        <v>3</v>
      </c>
      <c r="D284" s="37">
        <v>46450</v>
      </c>
      <c r="E284">
        <v>0</v>
      </c>
      <c r="F284">
        <f t="shared" si="34"/>
        <v>0</v>
      </c>
      <c r="K284" s="37"/>
      <c r="L284"/>
    </row>
    <row r="285" spans="3:12" x14ac:dyDescent="0.3">
      <c r="C285">
        <v>3</v>
      </c>
      <c r="D285" s="37">
        <v>46451</v>
      </c>
      <c r="E285">
        <v>0</v>
      </c>
      <c r="F285">
        <f t="shared" si="34"/>
        <v>0</v>
      </c>
      <c r="K285" s="37"/>
      <c r="L285"/>
    </row>
    <row r="286" spans="3:12" x14ac:dyDescent="0.3">
      <c r="C286">
        <v>3</v>
      </c>
      <c r="D286" s="37">
        <v>46452</v>
      </c>
      <c r="E286">
        <v>0</v>
      </c>
      <c r="F286">
        <f t="shared" si="34"/>
        <v>0</v>
      </c>
      <c r="K286" s="37"/>
      <c r="L286"/>
    </row>
    <row r="287" spans="3:12" x14ac:dyDescent="0.3">
      <c r="C287">
        <v>3</v>
      </c>
      <c r="D287" s="37" cm="1">
        <f t="array" ref="D287:D293">TRANSPOSE(Calendar!B127:H127)</f>
        <v>46453</v>
      </c>
      <c r="E287" cm="1">
        <f t="array" ref="E287:E293">TRANSPOSE(Calendar!B128:H128)</f>
        <v>0</v>
      </c>
      <c r="F287">
        <f t="shared" si="34"/>
        <v>0</v>
      </c>
      <c r="K287" s="37"/>
      <c r="L287"/>
    </row>
    <row r="288" spans="3:12" x14ac:dyDescent="0.3">
      <c r="C288">
        <v>3</v>
      </c>
      <c r="D288" s="37">
        <v>46454</v>
      </c>
      <c r="E288">
        <v>0</v>
      </c>
      <c r="F288">
        <f t="shared" si="34"/>
        <v>0</v>
      </c>
      <c r="K288" s="37"/>
      <c r="L288"/>
    </row>
    <row r="289" spans="3:12" x14ac:dyDescent="0.3">
      <c r="C289">
        <v>3</v>
      </c>
      <c r="D289" s="37">
        <v>46455</v>
      </c>
      <c r="E289">
        <v>0</v>
      </c>
      <c r="F289">
        <f t="shared" si="34"/>
        <v>0</v>
      </c>
      <c r="K289" s="37"/>
      <c r="L289"/>
    </row>
    <row r="290" spans="3:12" x14ac:dyDescent="0.3">
      <c r="C290">
        <v>3</v>
      </c>
      <c r="D290" s="37">
        <v>46456</v>
      </c>
      <c r="E290">
        <v>0</v>
      </c>
      <c r="F290">
        <f t="shared" si="34"/>
        <v>0</v>
      </c>
      <c r="K290" s="37"/>
      <c r="L290"/>
    </row>
    <row r="291" spans="3:12" x14ac:dyDescent="0.3">
      <c r="C291">
        <v>3</v>
      </c>
      <c r="D291" s="37">
        <v>46457</v>
      </c>
      <c r="E291">
        <v>0</v>
      </c>
      <c r="F291">
        <f t="shared" si="34"/>
        <v>0</v>
      </c>
      <c r="K291" s="37"/>
      <c r="L291"/>
    </row>
    <row r="292" spans="3:12" x14ac:dyDescent="0.3">
      <c r="C292">
        <v>3</v>
      </c>
      <c r="D292" s="37">
        <v>46458</v>
      </c>
      <c r="E292">
        <v>0</v>
      </c>
      <c r="F292">
        <f t="shared" si="34"/>
        <v>0</v>
      </c>
      <c r="K292" s="37"/>
      <c r="L292"/>
    </row>
    <row r="293" spans="3:12" x14ac:dyDescent="0.3">
      <c r="C293">
        <v>3</v>
      </c>
      <c r="D293" s="37">
        <v>46459</v>
      </c>
      <c r="E293">
        <v>0</v>
      </c>
      <c r="F293">
        <f t="shared" si="34"/>
        <v>0</v>
      </c>
      <c r="K293" s="37"/>
      <c r="L293"/>
    </row>
    <row r="294" spans="3:12" x14ac:dyDescent="0.3">
      <c r="C294">
        <v>3</v>
      </c>
      <c r="D294" s="37" cm="1">
        <f t="array" ref="D294:D300">TRANSPOSE(Calendar!B129:H129)</f>
        <v>46460</v>
      </c>
      <c r="E294" cm="1">
        <f t="array" ref="E294:E300">TRANSPOSE(Calendar!B130:H130)</f>
        <v>0</v>
      </c>
      <c r="F294">
        <f t="shared" si="34"/>
        <v>0</v>
      </c>
      <c r="K294" s="37"/>
      <c r="L294"/>
    </row>
    <row r="295" spans="3:12" x14ac:dyDescent="0.3">
      <c r="C295">
        <v>3</v>
      </c>
      <c r="D295" s="37">
        <v>46461</v>
      </c>
      <c r="E295">
        <v>0</v>
      </c>
      <c r="F295">
        <f t="shared" si="34"/>
        <v>0</v>
      </c>
      <c r="K295" s="37"/>
      <c r="L295"/>
    </row>
    <row r="296" spans="3:12" x14ac:dyDescent="0.3">
      <c r="C296">
        <v>3</v>
      </c>
      <c r="D296" s="37">
        <v>46462</v>
      </c>
      <c r="E296">
        <v>0</v>
      </c>
      <c r="F296">
        <f t="shared" si="34"/>
        <v>0</v>
      </c>
      <c r="K296" s="37"/>
      <c r="L296"/>
    </row>
    <row r="297" spans="3:12" x14ac:dyDescent="0.3">
      <c r="C297">
        <v>3</v>
      </c>
      <c r="D297" s="37">
        <v>46463</v>
      </c>
      <c r="E297">
        <v>0</v>
      </c>
      <c r="F297">
        <f t="shared" si="34"/>
        <v>0</v>
      </c>
      <c r="K297" s="37"/>
      <c r="L297"/>
    </row>
    <row r="298" spans="3:12" x14ac:dyDescent="0.3">
      <c r="C298">
        <v>3</v>
      </c>
      <c r="D298" s="37">
        <v>46464</v>
      </c>
      <c r="E298">
        <v>0</v>
      </c>
      <c r="F298">
        <f t="shared" si="34"/>
        <v>0</v>
      </c>
      <c r="K298" s="37"/>
      <c r="L298"/>
    </row>
    <row r="299" spans="3:12" x14ac:dyDescent="0.3">
      <c r="C299">
        <v>3</v>
      </c>
      <c r="D299" s="37">
        <v>46465</v>
      </c>
      <c r="E299">
        <v>0</v>
      </c>
      <c r="F299">
        <f t="shared" si="34"/>
        <v>0</v>
      </c>
      <c r="K299" s="37"/>
      <c r="L299"/>
    </row>
    <row r="300" spans="3:12" x14ac:dyDescent="0.3">
      <c r="C300">
        <v>3</v>
      </c>
      <c r="D300" s="37">
        <v>46466</v>
      </c>
      <c r="E300">
        <v>0</v>
      </c>
      <c r="F300">
        <f t="shared" si="34"/>
        <v>0</v>
      </c>
      <c r="K300" s="37"/>
      <c r="L300"/>
    </row>
    <row r="301" spans="3:12" x14ac:dyDescent="0.3">
      <c r="C301">
        <v>3</v>
      </c>
      <c r="D301" s="37" cm="1">
        <f t="array" ref="D301:D307">TRANSPOSE(Calendar!B131:H131)</f>
        <v>46467</v>
      </c>
      <c r="E301" cm="1">
        <f t="array" ref="E301:E307">TRANSPOSE(Calendar!B132:H132)</f>
        <v>0</v>
      </c>
      <c r="F301">
        <f t="shared" si="34"/>
        <v>0</v>
      </c>
      <c r="K301" s="37"/>
      <c r="L301"/>
    </row>
    <row r="302" spans="3:12" x14ac:dyDescent="0.3">
      <c r="C302">
        <v>3</v>
      </c>
      <c r="D302" s="37">
        <v>46468</v>
      </c>
      <c r="E302">
        <v>0</v>
      </c>
      <c r="F302">
        <f t="shared" si="34"/>
        <v>0</v>
      </c>
      <c r="K302" s="37"/>
      <c r="L302"/>
    </row>
    <row r="303" spans="3:12" x14ac:dyDescent="0.3">
      <c r="C303">
        <v>3</v>
      </c>
      <c r="D303" s="37">
        <v>46469</v>
      </c>
      <c r="E303">
        <v>0</v>
      </c>
      <c r="F303">
        <f t="shared" si="34"/>
        <v>0</v>
      </c>
      <c r="K303" s="37"/>
      <c r="L303"/>
    </row>
    <row r="304" spans="3:12" x14ac:dyDescent="0.3">
      <c r="C304">
        <v>3</v>
      </c>
      <c r="D304" s="37">
        <v>46470</v>
      </c>
      <c r="E304">
        <v>0</v>
      </c>
      <c r="F304">
        <f t="shared" si="34"/>
        <v>0</v>
      </c>
      <c r="K304" s="37"/>
      <c r="L304"/>
    </row>
    <row r="305" spans="3:12" x14ac:dyDescent="0.3">
      <c r="C305">
        <v>3</v>
      </c>
      <c r="D305" s="37">
        <v>46471</v>
      </c>
      <c r="E305">
        <v>0</v>
      </c>
      <c r="F305">
        <f t="shared" si="34"/>
        <v>0</v>
      </c>
      <c r="K305" s="37"/>
      <c r="L305"/>
    </row>
    <row r="306" spans="3:12" x14ac:dyDescent="0.3">
      <c r="C306">
        <v>3</v>
      </c>
      <c r="D306" s="37">
        <v>46472</v>
      </c>
      <c r="E306" t="str">
        <v>Closed (non-operational)</v>
      </c>
      <c r="F306">
        <f t="shared" si="34"/>
        <v>0</v>
      </c>
      <c r="K306" s="37"/>
      <c r="L306"/>
    </row>
    <row r="307" spans="3:12" x14ac:dyDescent="0.3">
      <c r="C307">
        <v>3</v>
      </c>
      <c r="D307" s="37">
        <v>46473</v>
      </c>
      <c r="E307">
        <v>0</v>
      </c>
      <c r="F307">
        <f t="shared" si="34"/>
        <v>0</v>
      </c>
      <c r="K307" s="37"/>
      <c r="L307"/>
    </row>
    <row r="308" spans="3:12" x14ac:dyDescent="0.3">
      <c r="C308">
        <v>3</v>
      </c>
      <c r="D308" s="37" cm="1">
        <f t="array" ref="D308:D314">TRANSPOSE(Calendar!B133:H133)</f>
        <v>46474</v>
      </c>
      <c r="E308" cm="1">
        <f t="array" ref="E308:E314">TRANSPOSE(Calendar!B134:H134)</f>
        <v>0</v>
      </c>
      <c r="F308">
        <f t="shared" si="34"/>
        <v>0</v>
      </c>
      <c r="K308" s="37"/>
      <c r="L308"/>
    </row>
    <row r="309" spans="3:12" x14ac:dyDescent="0.3">
      <c r="C309">
        <v>3</v>
      </c>
      <c r="D309" s="37">
        <v>46475</v>
      </c>
      <c r="E309" t="str">
        <v>Closed (non-operational)</v>
      </c>
      <c r="F309">
        <f t="shared" si="34"/>
        <v>0</v>
      </c>
      <c r="K309" s="37"/>
      <c r="L309"/>
    </row>
    <row r="310" spans="3:12" x14ac:dyDescent="0.3">
      <c r="C310">
        <v>3</v>
      </c>
      <c r="D310" s="37">
        <v>46476</v>
      </c>
      <c r="E310">
        <v>0</v>
      </c>
      <c r="F310">
        <f t="shared" si="34"/>
        <v>0</v>
      </c>
      <c r="K310" s="37"/>
      <c r="L310"/>
    </row>
    <row r="311" spans="3:12" x14ac:dyDescent="0.3">
      <c r="C311">
        <v>3</v>
      </c>
      <c r="D311" s="37">
        <v>46477</v>
      </c>
      <c r="E311">
        <v>0</v>
      </c>
      <c r="F311">
        <f t="shared" si="34"/>
        <v>0</v>
      </c>
      <c r="K311" s="37"/>
      <c r="L311"/>
    </row>
    <row r="312" spans="3:12" x14ac:dyDescent="0.3">
      <c r="C312">
        <v>3</v>
      </c>
      <c r="D312" s="37">
        <v>46478</v>
      </c>
      <c r="E312">
        <v>0</v>
      </c>
      <c r="F312">
        <f t="shared" si="34"/>
        <v>0</v>
      </c>
      <c r="K312" s="37"/>
      <c r="L312"/>
    </row>
    <row r="313" spans="3:12" x14ac:dyDescent="0.3">
      <c r="C313">
        <v>3</v>
      </c>
      <c r="D313" s="37">
        <v>46479</v>
      </c>
      <c r="E313">
        <v>0</v>
      </c>
      <c r="F313">
        <f t="shared" si="34"/>
        <v>0</v>
      </c>
      <c r="K313" s="37"/>
      <c r="L313"/>
    </row>
    <row r="314" spans="3:12" x14ac:dyDescent="0.3">
      <c r="C314">
        <v>3</v>
      </c>
      <c r="D314" s="37">
        <v>46480</v>
      </c>
      <c r="E314">
        <v>0</v>
      </c>
      <c r="F314">
        <f t="shared" si="34"/>
        <v>0</v>
      </c>
      <c r="K314" s="37"/>
      <c r="L314"/>
    </row>
    <row r="315" spans="3:12" x14ac:dyDescent="0.3">
      <c r="C315">
        <v>3</v>
      </c>
      <c r="D315" s="37" cm="1">
        <f t="array" ref="D315:D316">TRANSPOSE(Calendar!B135:C135)</f>
        <v>46481</v>
      </c>
      <c r="E315" cm="1">
        <f t="array" ref="E315:E316">TRANSPOSE(Calendar!B136:C136)</f>
        <v>0</v>
      </c>
      <c r="F315">
        <f t="shared" si="34"/>
        <v>0</v>
      </c>
      <c r="K315" s="37"/>
      <c r="L315"/>
    </row>
    <row r="316" spans="3:12" x14ac:dyDescent="0.3">
      <c r="C316">
        <v>3</v>
      </c>
      <c r="D316" s="37">
        <v>46482</v>
      </c>
      <c r="E316">
        <v>0</v>
      </c>
      <c r="F316">
        <f t="shared" si="34"/>
        <v>0</v>
      </c>
      <c r="K316" s="37"/>
      <c r="L316"/>
    </row>
    <row r="317" spans="3:12" x14ac:dyDescent="0.3">
      <c r="C317">
        <v>4</v>
      </c>
      <c r="D317" s="37" cm="1">
        <f t="array" ref="D317:D323">TRANSPOSE(Calendar!B141:H141)</f>
        <v>46474</v>
      </c>
      <c r="E317" cm="1">
        <f t="array" ref="E317:E323">TRANSPOSE(Calendar!B142:H142)</f>
        <v>0</v>
      </c>
      <c r="F317">
        <f t="shared" si="34"/>
        <v>0</v>
      </c>
      <c r="K317" s="37"/>
      <c r="L317"/>
    </row>
    <row r="318" spans="3:12" x14ac:dyDescent="0.3">
      <c r="C318">
        <v>4</v>
      </c>
      <c r="D318" s="37">
        <v>46475</v>
      </c>
      <c r="E318">
        <v>0</v>
      </c>
      <c r="F318">
        <f t="shared" si="34"/>
        <v>0</v>
      </c>
      <c r="K318" s="37"/>
      <c r="L318"/>
    </row>
    <row r="319" spans="3:12" x14ac:dyDescent="0.3">
      <c r="C319">
        <v>4</v>
      </c>
      <c r="D319" s="37">
        <v>46476</v>
      </c>
      <c r="E319">
        <v>0</v>
      </c>
      <c r="F319">
        <f t="shared" si="34"/>
        <v>0</v>
      </c>
      <c r="K319" s="37"/>
      <c r="L319"/>
    </row>
    <row r="320" spans="3:12" x14ac:dyDescent="0.3">
      <c r="C320">
        <v>4</v>
      </c>
      <c r="D320" s="37">
        <v>46477</v>
      </c>
      <c r="E320">
        <v>0</v>
      </c>
      <c r="F320">
        <f t="shared" si="34"/>
        <v>0</v>
      </c>
      <c r="K320" s="37"/>
      <c r="L320"/>
    </row>
    <row r="321" spans="3:12" x14ac:dyDescent="0.3">
      <c r="C321">
        <v>4</v>
      </c>
      <c r="D321" s="37">
        <v>46478</v>
      </c>
      <c r="E321">
        <v>0</v>
      </c>
      <c r="F321">
        <f t="shared" si="34"/>
        <v>0</v>
      </c>
      <c r="K321" s="37"/>
      <c r="L321"/>
    </row>
    <row r="322" spans="3:12" x14ac:dyDescent="0.3">
      <c r="C322">
        <v>4</v>
      </c>
      <c r="D322" s="37">
        <v>46479</v>
      </c>
      <c r="E322">
        <v>0</v>
      </c>
      <c r="F322">
        <f t="shared" si="34"/>
        <v>0</v>
      </c>
      <c r="K322" s="37"/>
      <c r="L322"/>
    </row>
    <row r="323" spans="3:12" x14ac:dyDescent="0.3">
      <c r="C323">
        <v>4</v>
      </c>
      <c r="D323" s="37">
        <v>46480</v>
      </c>
      <c r="E323">
        <v>0</v>
      </c>
      <c r="F323">
        <f t="shared" si="34"/>
        <v>0</v>
      </c>
      <c r="K323" s="37"/>
      <c r="L323"/>
    </row>
    <row r="324" spans="3:12" x14ac:dyDescent="0.3">
      <c r="C324">
        <v>4</v>
      </c>
      <c r="D324" s="37" cm="1">
        <f t="array" ref="D324:D330">TRANSPOSE(Calendar!B143:H143)</f>
        <v>46481</v>
      </c>
      <c r="E324" cm="1">
        <f t="array" ref="E324:E330">TRANSPOSE(Calendar!B144:H144)</f>
        <v>0</v>
      </c>
      <c r="F324">
        <f t="shared" si="34"/>
        <v>0</v>
      </c>
      <c r="K324" s="37"/>
      <c r="L324"/>
    </row>
    <row r="325" spans="3:12" x14ac:dyDescent="0.3">
      <c r="C325">
        <v>4</v>
      </c>
      <c r="D325" s="37">
        <v>46482</v>
      </c>
      <c r="E325">
        <v>0</v>
      </c>
      <c r="F325">
        <f t="shared" si="34"/>
        <v>0</v>
      </c>
      <c r="K325" s="37"/>
      <c r="L325"/>
    </row>
    <row r="326" spans="3:12" x14ac:dyDescent="0.3">
      <c r="C326">
        <v>4</v>
      </c>
      <c r="D326" s="37">
        <v>46483</v>
      </c>
      <c r="E326">
        <v>0</v>
      </c>
      <c r="F326">
        <f t="shared" si="34"/>
        <v>0</v>
      </c>
      <c r="K326" s="37"/>
      <c r="L326"/>
    </row>
    <row r="327" spans="3:12" x14ac:dyDescent="0.3">
      <c r="C327">
        <v>4</v>
      </c>
      <c r="D327" s="37">
        <v>46484</v>
      </c>
      <c r="E327">
        <v>0</v>
      </c>
      <c r="F327">
        <f t="shared" si="34"/>
        <v>0</v>
      </c>
      <c r="K327" s="37"/>
      <c r="L327"/>
    </row>
    <row r="328" spans="3:12" x14ac:dyDescent="0.3">
      <c r="C328">
        <v>4</v>
      </c>
      <c r="D328" s="37">
        <v>46485</v>
      </c>
      <c r="E328">
        <v>0</v>
      </c>
      <c r="F328">
        <f t="shared" si="34"/>
        <v>0</v>
      </c>
      <c r="K328" s="37"/>
      <c r="L328"/>
    </row>
    <row r="329" spans="3:12" x14ac:dyDescent="0.3">
      <c r="C329">
        <v>4</v>
      </c>
      <c r="D329" s="37">
        <v>46486</v>
      </c>
      <c r="E329">
        <v>0</v>
      </c>
      <c r="F329">
        <f t="shared" si="34"/>
        <v>0</v>
      </c>
      <c r="K329" s="37"/>
      <c r="L329"/>
    </row>
    <row r="330" spans="3:12" x14ac:dyDescent="0.3">
      <c r="C330">
        <v>4</v>
      </c>
      <c r="D330" s="37">
        <v>46487</v>
      </c>
      <c r="E330">
        <v>0</v>
      </c>
      <c r="F330">
        <f t="shared" si="34"/>
        <v>0</v>
      </c>
      <c r="K330" s="37"/>
      <c r="L330"/>
    </row>
    <row r="331" spans="3:12" x14ac:dyDescent="0.3">
      <c r="C331">
        <v>4</v>
      </c>
      <c r="D331" s="37" cm="1">
        <f t="array" ref="D331:D337">TRANSPOSE(Calendar!B145:H145)</f>
        <v>46488</v>
      </c>
      <c r="E331" cm="1">
        <f t="array" ref="E331:E337">TRANSPOSE(Calendar!B146:H146)</f>
        <v>0</v>
      </c>
      <c r="F331">
        <f t="shared" si="34"/>
        <v>0</v>
      </c>
      <c r="K331" s="37"/>
      <c r="L331"/>
    </row>
    <row r="332" spans="3:12" x14ac:dyDescent="0.3">
      <c r="C332">
        <v>4</v>
      </c>
      <c r="D332" s="37">
        <v>46489</v>
      </c>
      <c r="E332">
        <v>0</v>
      </c>
      <c r="F332">
        <f t="shared" si="34"/>
        <v>0</v>
      </c>
      <c r="K332" s="37"/>
      <c r="L332"/>
    </row>
    <row r="333" spans="3:12" x14ac:dyDescent="0.3">
      <c r="C333">
        <v>4</v>
      </c>
      <c r="D333" s="37">
        <v>46490</v>
      </c>
      <c r="E333">
        <v>0</v>
      </c>
      <c r="F333">
        <f t="shared" si="34"/>
        <v>0</v>
      </c>
      <c r="K333" s="37"/>
      <c r="L333"/>
    </row>
    <row r="334" spans="3:12" x14ac:dyDescent="0.3">
      <c r="C334">
        <v>4</v>
      </c>
      <c r="D334" s="37">
        <v>46491</v>
      </c>
      <c r="E334">
        <v>0</v>
      </c>
      <c r="F334">
        <f t="shared" si="34"/>
        <v>0</v>
      </c>
      <c r="K334" s="37"/>
      <c r="L334"/>
    </row>
    <row r="335" spans="3:12" x14ac:dyDescent="0.3">
      <c r="C335">
        <v>4</v>
      </c>
      <c r="D335" s="37">
        <v>46492</v>
      </c>
      <c r="E335">
        <v>0</v>
      </c>
      <c r="F335">
        <f t="shared" si="34"/>
        <v>0</v>
      </c>
      <c r="K335" s="37"/>
      <c r="L335"/>
    </row>
    <row r="336" spans="3:12" x14ac:dyDescent="0.3">
      <c r="C336">
        <v>4</v>
      </c>
      <c r="D336" s="37">
        <v>46493</v>
      </c>
      <c r="E336">
        <v>0</v>
      </c>
      <c r="F336">
        <f t="shared" si="34"/>
        <v>0</v>
      </c>
      <c r="K336" s="37"/>
      <c r="L336"/>
    </row>
    <row r="337" spans="3:12" x14ac:dyDescent="0.3">
      <c r="C337">
        <v>4</v>
      </c>
      <c r="D337" s="37">
        <v>46494</v>
      </c>
      <c r="E337">
        <v>0</v>
      </c>
      <c r="F337">
        <f t="shared" si="34"/>
        <v>0</v>
      </c>
      <c r="K337" s="37"/>
      <c r="L337"/>
    </row>
    <row r="338" spans="3:12" x14ac:dyDescent="0.3">
      <c r="C338">
        <v>4</v>
      </c>
      <c r="D338" s="37" cm="1">
        <f t="array" ref="D338:D344">TRANSPOSE(Calendar!B147:H147)</f>
        <v>46495</v>
      </c>
      <c r="E338" cm="1">
        <f t="array" ref="E338:E344">TRANSPOSE(Calendar!B148:H148)</f>
        <v>0</v>
      </c>
      <c r="F338">
        <f t="shared" si="34"/>
        <v>0</v>
      </c>
      <c r="K338" s="37"/>
      <c r="L338"/>
    </row>
    <row r="339" spans="3:12" x14ac:dyDescent="0.3">
      <c r="C339">
        <v>4</v>
      </c>
      <c r="D339" s="37">
        <v>46496</v>
      </c>
      <c r="E339">
        <v>0</v>
      </c>
      <c r="F339">
        <f t="shared" si="34"/>
        <v>0</v>
      </c>
      <c r="K339" s="37"/>
      <c r="L339"/>
    </row>
    <row r="340" spans="3:12" x14ac:dyDescent="0.3">
      <c r="C340">
        <v>4</v>
      </c>
      <c r="D340" s="37">
        <v>46497</v>
      </c>
      <c r="E340">
        <v>0</v>
      </c>
      <c r="F340">
        <f t="shared" si="34"/>
        <v>0</v>
      </c>
      <c r="K340" s="37"/>
      <c r="L340"/>
    </row>
    <row r="341" spans="3:12" x14ac:dyDescent="0.3">
      <c r="C341">
        <v>4</v>
      </c>
      <c r="D341" s="37">
        <v>46498</v>
      </c>
      <c r="E341">
        <v>0</v>
      </c>
      <c r="F341">
        <f t="shared" ref="F341:F404" si="35">IF(AND(MONTH(D341)=C341,D341&gt;=First_Operational_Day,D341&lt;=Last_Operational_Day,WEEKDAY(D341)&lt;&gt;1,WEEKDAY(D341)&lt;&gt;7,E341&lt;&gt;"Closed (non-operational)"),1,0)</f>
        <v>0</v>
      </c>
      <c r="K341" s="37"/>
      <c r="L341"/>
    </row>
    <row r="342" spans="3:12" x14ac:dyDescent="0.3">
      <c r="C342">
        <v>4</v>
      </c>
      <c r="D342" s="37">
        <v>46499</v>
      </c>
      <c r="E342">
        <v>0</v>
      </c>
      <c r="F342">
        <f t="shared" si="35"/>
        <v>0</v>
      </c>
      <c r="K342" s="37"/>
      <c r="L342"/>
    </row>
    <row r="343" spans="3:12" x14ac:dyDescent="0.3">
      <c r="C343">
        <v>4</v>
      </c>
      <c r="D343" s="37">
        <v>46500</v>
      </c>
      <c r="E343">
        <v>0</v>
      </c>
      <c r="F343">
        <f t="shared" si="35"/>
        <v>0</v>
      </c>
      <c r="K343" s="37"/>
      <c r="L343"/>
    </row>
    <row r="344" spans="3:12" x14ac:dyDescent="0.3">
      <c r="C344">
        <v>4</v>
      </c>
      <c r="D344" s="37">
        <v>46501</v>
      </c>
      <c r="E344">
        <v>0</v>
      </c>
      <c r="F344">
        <f t="shared" si="35"/>
        <v>0</v>
      </c>
      <c r="K344" s="37"/>
      <c r="L344"/>
    </row>
    <row r="345" spans="3:12" x14ac:dyDescent="0.3">
      <c r="C345">
        <v>4</v>
      </c>
      <c r="D345" s="37" cm="1">
        <f t="array" ref="D345:D351">TRANSPOSE(Calendar!B149:H149)</f>
        <v>46502</v>
      </c>
      <c r="E345" cm="1">
        <f t="array" ref="E345:E351">TRANSPOSE(Calendar!B150:H150)</f>
        <v>0</v>
      </c>
      <c r="F345">
        <f t="shared" si="35"/>
        <v>0</v>
      </c>
      <c r="K345" s="37"/>
      <c r="L345"/>
    </row>
    <row r="346" spans="3:12" x14ac:dyDescent="0.3">
      <c r="C346">
        <v>4</v>
      </c>
      <c r="D346" s="37">
        <v>46503</v>
      </c>
      <c r="E346">
        <v>0</v>
      </c>
      <c r="F346">
        <f t="shared" si="35"/>
        <v>0</v>
      </c>
      <c r="K346" s="37"/>
      <c r="L346"/>
    </row>
    <row r="347" spans="3:12" x14ac:dyDescent="0.3">
      <c r="C347">
        <v>4</v>
      </c>
      <c r="D347" s="37">
        <v>46504</v>
      </c>
      <c r="E347">
        <v>0</v>
      </c>
      <c r="F347">
        <f t="shared" si="35"/>
        <v>0</v>
      </c>
      <c r="K347" s="37"/>
      <c r="L347"/>
    </row>
    <row r="348" spans="3:12" x14ac:dyDescent="0.3">
      <c r="C348">
        <v>4</v>
      </c>
      <c r="D348" s="37">
        <v>46505</v>
      </c>
      <c r="E348">
        <v>0</v>
      </c>
      <c r="F348">
        <f t="shared" si="35"/>
        <v>0</v>
      </c>
      <c r="K348" s="37"/>
      <c r="L348"/>
    </row>
    <row r="349" spans="3:12" x14ac:dyDescent="0.3">
      <c r="C349">
        <v>4</v>
      </c>
      <c r="D349" s="37">
        <v>46506</v>
      </c>
      <c r="E349">
        <v>0</v>
      </c>
      <c r="F349">
        <f t="shared" si="35"/>
        <v>0</v>
      </c>
      <c r="K349" s="37"/>
      <c r="L349"/>
    </row>
    <row r="350" spans="3:12" x14ac:dyDescent="0.3">
      <c r="C350">
        <v>4</v>
      </c>
      <c r="D350" s="37">
        <v>46507</v>
      </c>
      <c r="E350">
        <v>0</v>
      </c>
      <c r="F350">
        <f t="shared" si="35"/>
        <v>0</v>
      </c>
      <c r="K350" s="37"/>
      <c r="L350"/>
    </row>
    <row r="351" spans="3:12" x14ac:dyDescent="0.3">
      <c r="C351">
        <v>4</v>
      </c>
      <c r="D351" s="37">
        <v>46508</v>
      </c>
      <c r="E351">
        <v>0</v>
      </c>
      <c r="F351">
        <f t="shared" si="35"/>
        <v>0</v>
      </c>
      <c r="K351" s="37"/>
      <c r="L351"/>
    </row>
    <row r="352" spans="3:12" x14ac:dyDescent="0.3">
      <c r="C352">
        <v>4</v>
      </c>
      <c r="D352" s="37" cm="1">
        <f t="array" ref="D352:D353">TRANSPOSE(Calendar!B151:C151)</f>
        <v>46509</v>
      </c>
      <c r="E352" cm="1">
        <f t="array" ref="E352">TRANSPOSE(Calendar!B152:B152)</f>
        <v>0</v>
      </c>
      <c r="F352">
        <f t="shared" si="35"/>
        <v>0</v>
      </c>
      <c r="K352" s="37"/>
      <c r="L352"/>
    </row>
    <row r="353" spans="3:12" x14ac:dyDescent="0.3">
      <c r="C353">
        <v>4</v>
      </c>
      <c r="D353" s="37">
        <v>46510</v>
      </c>
      <c r="E353"/>
      <c r="F353">
        <f t="shared" si="35"/>
        <v>0</v>
      </c>
      <c r="K353" s="37"/>
      <c r="L353"/>
    </row>
    <row r="354" spans="3:12" x14ac:dyDescent="0.3">
      <c r="C354">
        <v>5</v>
      </c>
      <c r="D354" s="37" cm="1">
        <f t="array" ref="D354:D360">TRANSPOSE(Calendar!B157:H157)</f>
        <v>46502</v>
      </c>
      <c r="E354" cm="1">
        <f t="array" ref="E354:E360">TRANSPOSE(Calendar!B158:H158)</f>
        <v>0</v>
      </c>
      <c r="F354">
        <f t="shared" si="35"/>
        <v>0</v>
      </c>
      <c r="K354" s="37"/>
      <c r="L354"/>
    </row>
    <row r="355" spans="3:12" x14ac:dyDescent="0.3">
      <c r="C355">
        <v>5</v>
      </c>
      <c r="D355" s="37">
        <v>46503</v>
      </c>
      <c r="E355">
        <v>0</v>
      </c>
      <c r="F355">
        <f t="shared" si="35"/>
        <v>0</v>
      </c>
      <c r="K355" s="37"/>
      <c r="L355"/>
    </row>
    <row r="356" spans="3:12" x14ac:dyDescent="0.3">
      <c r="C356">
        <v>5</v>
      </c>
      <c r="D356" s="37">
        <v>46504</v>
      </c>
      <c r="E356">
        <v>0</v>
      </c>
      <c r="F356">
        <f t="shared" si="35"/>
        <v>0</v>
      </c>
      <c r="K356" s="37"/>
      <c r="L356"/>
    </row>
    <row r="357" spans="3:12" x14ac:dyDescent="0.3">
      <c r="C357">
        <v>5</v>
      </c>
      <c r="D357" s="37">
        <v>46505</v>
      </c>
      <c r="E357">
        <v>0</v>
      </c>
      <c r="F357">
        <f t="shared" si="35"/>
        <v>0</v>
      </c>
      <c r="K357" s="37"/>
      <c r="L357"/>
    </row>
    <row r="358" spans="3:12" x14ac:dyDescent="0.3">
      <c r="C358">
        <v>5</v>
      </c>
      <c r="D358" s="37">
        <v>46506</v>
      </c>
      <c r="E358">
        <v>0</v>
      </c>
      <c r="F358">
        <f t="shared" si="35"/>
        <v>0</v>
      </c>
      <c r="K358" s="37"/>
      <c r="L358"/>
    </row>
    <row r="359" spans="3:12" x14ac:dyDescent="0.3">
      <c r="C359">
        <v>5</v>
      </c>
      <c r="D359" s="37">
        <v>46507</v>
      </c>
      <c r="E359">
        <v>0</v>
      </c>
      <c r="F359">
        <f t="shared" si="35"/>
        <v>0</v>
      </c>
      <c r="K359" s="37"/>
      <c r="L359"/>
    </row>
    <row r="360" spans="3:12" x14ac:dyDescent="0.3">
      <c r="C360">
        <v>5</v>
      </c>
      <c r="D360" s="37">
        <v>46508</v>
      </c>
      <c r="E360">
        <v>0</v>
      </c>
      <c r="F360">
        <f t="shared" si="35"/>
        <v>0</v>
      </c>
      <c r="K360" s="37"/>
      <c r="L360"/>
    </row>
    <row r="361" spans="3:12" x14ac:dyDescent="0.3">
      <c r="C361">
        <v>5</v>
      </c>
      <c r="D361" s="37" cm="1">
        <f t="array" ref="D361:D367">TRANSPOSE(Calendar!B159:H159)</f>
        <v>46509</v>
      </c>
      <c r="E361" cm="1">
        <f t="array" ref="E361:E367">TRANSPOSE(Calendar!B160:H160)</f>
        <v>0</v>
      </c>
      <c r="F361">
        <f t="shared" si="35"/>
        <v>0</v>
      </c>
      <c r="K361" s="37"/>
      <c r="L361"/>
    </row>
    <row r="362" spans="3:12" x14ac:dyDescent="0.3">
      <c r="C362">
        <v>5</v>
      </c>
      <c r="D362" s="37">
        <v>46510</v>
      </c>
      <c r="E362">
        <v>0</v>
      </c>
      <c r="F362">
        <f t="shared" si="35"/>
        <v>0</v>
      </c>
      <c r="K362" s="37"/>
      <c r="L362"/>
    </row>
    <row r="363" spans="3:12" x14ac:dyDescent="0.3">
      <c r="C363">
        <v>5</v>
      </c>
      <c r="D363" s="37">
        <v>46511</v>
      </c>
      <c r="E363">
        <v>0</v>
      </c>
      <c r="F363">
        <f t="shared" si="35"/>
        <v>0</v>
      </c>
      <c r="K363" s="37"/>
      <c r="L363"/>
    </row>
    <row r="364" spans="3:12" x14ac:dyDescent="0.3">
      <c r="C364">
        <v>5</v>
      </c>
      <c r="D364" s="37">
        <v>46512</v>
      </c>
      <c r="E364">
        <v>0</v>
      </c>
      <c r="F364">
        <f t="shared" si="35"/>
        <v>0</v>
      </c>
      <c r="K364" s="37"/>
      <c r="L364"/>
    </row>
    <row r="365" spans="3:12" x14ac:dyDescent="0.3">
      <c r="C365">
        <v>5</v>
      </c>
      <c r="D365" s="37">
        <v>46513</v>
      </c>
      <c r="E365">
        <v>0</v>
      </c>
      <c r="F365">
        <f t="shared" si="35"/>
        <v>0</v>
      </c>
      <c r="K365" s="37"/>
      <c r="L365"/>
    </row>
    <row r="366" spans="3:12" x14ac:dyDescent="0.3">
      <c r="C366">
        <v>5</v>
      </c>
      <c r="D366" s="37">
        <v>46514</v>
      </c>
      <c r="E366">
        <v>0</v>
      </c>
      <c r="F366">
        <f t="shared" si="35"/>
        <v>0</v>
      </c>
      <c r="K366" s="37"/>
      <c r="L366"/>
    </row>
    <row r="367" spans="3:12" x14ac:dyDescent="0.3">
      <c r="C367">
        <v>5</v>
      </c>
      <c r="D367" s="37">
        <v>46515</v>
      </c>
      <c r="E367">
        <v>0</v>
      </c>
      <c r="F367">
        <f t="shared" si="35"/>
        <v>0</v>
      </c>
      <c r="K367" s="37"/>
      <c r="L367"/>
    </row>
    <row r="368" spans="3:12" x14ac:dyDescent="0.3">
      <c r="C368">
        <v>5</v>
      </c>
      <c r="D368" s="37" cm="1">
        <f t="array" ref="D368:D374">TRANSPOSE(Calendar!B161:H161)</f>
        <v>46516</v>
      </c>
      <c r="E368" cm="1">
        <f t="array" ref="E368:E374">TRANSPOSE(Calendar!B162:H162)</f>
        <v>0</v>
      </c>
      <c r="F368">
        <f t="shared" si="35"/>
        <v>0</v>
      </c>
      <c r="K368" s="37"/>
      <c r="L368"/>
    </row>
    <row r="369" spans="3:12" x14ac:dyDescent="0.3">
      <c r="C369">
        <v>5</v>
      </c>
      <c r="D369" s="37">
        <v>46517</v>
      </c>
      <c r="E369">
        <v>0</v>
      </c>
      <c r="F369">
        <f t="shared" si="35"/>
        <v>0</v>
      </c>
      <c r="K369" s="37"/>
      <c r="L369"/>
    </row>
    <row r="370" spans="3:12" x14ac:dyDescent="0.3">
      <c r="C370">
        <v>5</v>
      </c>
      <c r="D370" s="37">
        <v>46518</v>
      </c>
      <c r="E370">
        <v>0</v>
      </c>
      <c r="F370">
        <f t="shared" si="35"/>
        <v>0</v>
      </c>
      <c r="K370" s="37"/>
      <c r="L370"/>
    </row>
    <row r="371" spans="3:12" x14ac:dyDescent="0.3">
      <c r="C371">
        <v>5</v>
      </c>
      <c r="D371" s="37">
        <v>46519</v>
      </c>
      <c r="E371">
        <v>0</v>
      </c>
      <c r="F371">
        <f t="shared" si="35"/>
        <v>0</v>
      </c>
      <c r="K371" s="37"/>
      <c r="L371"/>
    </row>
    <row r="372" spans="3:12" x14ac:dyDescent="0.3">
      <c r="C372">
        <v>5</v>
      </c>
      <c r="D372" s="37">
        <v>46520</v>
      </c>
      <c r="E372">
        <v>0</v>
      </c>
      <c r="F372">
        <f t="shared" si="35"/>
        <v>0</v>
      </c>
      <c r="K372" s="37"/>
      <c r="L372"/>
    </row>
    <row r="373" spans="3:12" x14ac:dyDescent="0.3">
      <c r="C373">
        <v>5</v>
      </c>
      <c r="D373" s="37">
        <v>46521</v>
      </c>
      <c r="E373">
        <v>0</v>
      </c>
      <c r="F373">
        <f t="shared" si="35"/>
        <v>0</v>
      </c>
      <c r="K373" s="37"/>
      <c r="L373"/>
    </row>
    <row r="374" spans="3:12" x14ac:dyDescent="0.3">
      <c r="C374">
        <v>5</v>
      </c>
      <c r="D374" s="37">
        <v>46522</v>
      </c>
      <c r="E374">
        <v>0</v>
      </c>
      <c r="F374">
        <f t="shared" si="35"/>
        <v>0</v>
      </c>
      <c r="K374" s="37"/>
      <c r="L374"/>
    </row>
    <row r="375" spans="3:12" x14ac:dyDescent="0.3">
      <c r="C375">
        <v>5</v>
      </c>
      <c r="D375" s="37" cm="1">
        <f t="array" ref="D375:D381">TRANSPOSE(Calendar!B163:H163)</f>
        <v>46523</v>
      </c>
      <c r="E375" cm="1">
        <f t="array" ref="E375:E381">TRANSPOSE(Calendar!B164:H164)</f>
        <v>0</v>
      </c>
      <c r="F375">
        <f t="shared" si="35"/>
        <v>0</v>
      </c>
      <c r="K375" s="37"/>
      <c r="L375"/>
    </row>
    <row r="376" spans="3:12" x14ac:dyDescent="0.3">
      <c r="C376">
        <v>5</v>
      </c>
      <c r="D376" s="37">
        <v>46524</v>
      </c>
      <c r="E376">
        <v>0</v>
      </c>
      <c r="F376">
        <f t="shared" si="35"/>
        <v>0</v>
      </c>
      <c r="K376" s="37"/>
      <c r="L376"/>
    </row>
    <row r="377" spans="3:12" x14ac:dyDescent="0.3">
      <c r="C377">
        <v>5</v>
      </c>
      <c r="D377" s="37">
        <v>46525</v>
      </c>
      <c r="E377">
        <v>0</v>
      </c>
      <c r="F377">
        <f t="shared" si="35"/>
        <v>0</v>
      </c>
      <c r="K377" s="37"/>
      <c r="L377"/>
    </row>
    <row r="378" spans="3:12" x14ac:dyDescent="0.3">
      <c r="C378">
        <v>5</v>
      </c>
      <c r="D378" s="37">
        <v>46526</v>
      </c>
      <c r="E378">
        <v>0</v>
      </c>
      <c r="F378">
        <f t="shared" si="35"/>
        <v>0</v>
      </c>
      <c r="K378" s="37"/>
      <c r="L378"/>
    </row>
    <row r="379" spans="3:12" x14ac:dyDescent="0.3">
      <c r="C379">
        <v>5</v>
      </c>
      <c r="D379" s="37">
        <v>46527</v>
      </c>
      <c r="E379">
        <v>0</v>
      </c>
      <c r="F379">
        <f t="shared" si="35"/>
        <v>0</v>
      </c>
      <c r="K379" s="37"/>
      <c r="L379"/>
    </row>
    <row r="380" spans="3:12" x14ac:dyDescent="0.3">
      <c r="C380">
        <v>5</v>
      </c>
      <c r="D380" s="37">
        <v>46528</v>
      </c>
      <c r="E380">
        <v>0</v>
      </c>
      <c r="F380">
        <f t="shared" si="35"/>
        <v>0</v>
      </c>
      <c r="K380" s="37"/>
      <c r="L380"/>
    </row>
    <row r="381" spans="3:12" x14ac:dyDescent="0.3">
      <c r="C381">
        <v>5</v>
      </c>
      <c r="D381" s="37">
        <v>46529</v>
      </c>
      <c r="E381">
        <v>0</v>
      </c>
      <c r="F381">
        <f t="shared" si="35"/>
        <v>0</v>
      </c>
      <c r="K381" s="37"/>
      <c r="L381"/>
    </row>
    <row r="382" spans="3:12" x14ac:dyDescent="0.3">
      <c r="C382">
        <v>5</v>
      </c>
      <c r="D382" s="37" cm="1">
        <f t="array" ref="D382:D388">TRANSPOSE(Calendar!B165:H165)</f>
        <v>46530</v>
      </c>
      <c r="E382" cm="1">
        <f t="array" ref="E382:E388">TRANSPOSE(Calendar!B166:H166)</f>
        <v>0</v>
      </c>
      <c r="F382">
        <f t="shared" si="35"/>
        <v>0</v>
      </c>
      <c r="K382" s="37"/>
      <c r="L382"/>
    </row>
    <row r="383" spans="3:12" x14ac:dyDescent="0.3">
      <c r="C383">
        <v>5</v>
      </c>
      <c r="D383" s="37">
        <v>46531</v>
      </c>
      <c r="E383" t="str">
        <v>Closed (non-operational)</v>
      </c>
      <c r="F383">
        <f t="shared" si="35"/>
        <v>0</v>
      </c>
      <c r="K383" s="37"/>
      <c r="L383"/>
    </row>
    <row r="384" spans="3:12" x14ac:dyDescent="0.3">
      <c r="C384">
        <v>5</v>
      </c>
      <c r="D384" s="37">
        <v>46532</v>
      </c>
      <c r="E384">
        <v>0</v>
      </c>
      <c r="F384">
        <f t="shared" si="35"/>
        <v>0</v>
      </c>
      <c r="K384" s="37"/>
      <c r="L384"/>
    </row>
    <row r="385" spans="3:12" x14ac:dyDescent="0.3">
      <c r="C385">
        <v>5</v>
      </c>
      <c r="D385" s="37">
        <v>46533</v>
      </c>
      <c r="E385">
        <v>0</v>
      </c>
      <c r="F385">
        <f t="shared" si="35"/>
        <v>0</v>
      </c>
      <c r="K385" s="37"/>
      <c r="L385"/>
    </row>
    <row r="386" spans="3:12" x14ac:dyDescent="0.3">
      <c r="C386">
        <v>5</v>
      </c>
      <c r="D386" s="37">
        <v>46534</v>
      </c>
      <c r="E386">
        <v>0</v>
      </c>
      <c r="F386">
        <f t="shared" si="35"/>
        <v>0</v>
      </c>
      <c r="K386" s="37"/>
      <c r="L386"/>
    </row>
    <row r="387" spans="3:12" x14ac:dyDescent="0.3">
      <c r="C387">
        <v>5</v>
      </c>
      <c r="D387" s="37">
        <v>46535</v>
      </c>
      <c r="E387">
        <v>0</v>
      </c>
      <c r="F387">
        <f t="shared" si="35"/>
        <v>0</v>
      </c>
      <c r="K387" s="37"/>
      <c r="L387"/>
    </row>
    <row r="388" spans="3:12" x14ac:dyDescent="0.3">
      <c r="C388">
        <v>5</v>
      </c>
      <c r="D388" s="37">
        <v>46536</v>
      </c>
      <c r="E388">
        <v>0</v>
      </c>
      <c r="F388">
        <f t="shared" si="35"/>
        <v>0</v>
      </c>
      <c r="K388" s="37"/>
      <c r="L388"/>
    </row>
    <row r="389" spans="3:12" x14ac:dyDescent="0.3">
      <c r="C389">
        <v>5</v>
      </c>
      <c r="D389" s="37" cm="1">
        <f t="array" ref="D389:D390">TRANSPOSE(Calendar!B167:C167)</f>
        <v>46537</v>
      </c>
      <c r="E389" cm="1">
        <f t="array" ref="E389:E390">TRANSPOSE(Calendar!B168:C168)</f>
        <v>0</v>
      </c>
      <c r="F389">
        <f t="shared" si="35"/>
        <v>0</v>
      </c>
      <c r="K389" s="37"/>
      <c r="L389"/>
    </row>
    <row r="390" spans="3:12" x14ac:dyDescent="0.3">
      <c r="C390">
        <v>5</v>
      </c>
      <c r="D390" s="37">
        <v>46538</v>
      </c>
      <c r="E390">
        <v>0</v>
      </c>
      <c r="F390">
        <f t="shared" si="35"/>
        <v>0</v>
      </c>
      <c r="K390" s="37"/>
      <c r="L390"/>
    </row>
    <row r="391" spans="3:12" x14ac:dyDescent="0.3">
      <c r="C391">
        <v>6</v>
      </c>
      <c r="D391" s="37" cm="1">
        <f t="array" ref="D391:D397">TRANSPOSE(Calendar!B173:H173)</f>
        <v>46537</v>
      </c>
      <c r="E391" cm="1">
        <f t="array" ref="E391:E397">TRANSPOSE(Calendar!B174:H174)</f>
        <v>0</v>
      </c>
      <c r="F391">
        <f t="shared" si="35"/>
        <v>0</v>
      </c>
      <c r="K391" s="37"/>
      <c r="L391"/>
    </row>
    <row r="392" spans="3:12" x14ac:dyDescent="0.3">
      <c r="C392">
        <v>6</v>
      </c>
      <c r="D392" s="37">
        <v>46538</v>
      </c>
      <c r="E392">
        <v>0</v>
      </c>
      <c r="F392">
        <f t="shared" si="35"/>
        <v>0</v>
      </c>
      <c r="K392" s="37"/>
      <c r="L392"/>
    </row>
    <row r="393" spans="3:12" x14ac:dyDescent="0.3">
      <c r="C393">
        <v>6</v>
      </c>
      <c r="D393" s="37">
        <v>46539</v>
      </c>
      <c r="E393">
        <v>0</v>
      </c>
      <c r="F393">
        <f t="shared" si="35"/>
        <v>0</v>
      </c>
      <c r="K393" s="37"/>
      <c r="L393"/>
    </row>
    <row r="394" spans="3:12" x14ac:dyDescent="0.3">
      <c r="C394">
        <v>6</v>
      </c>
      <c r="D394" s="37">
        <v>46540</v>
      </c>
      <c r="E394">
        <v>0</v>
      </c>
      <c r="F394">
        <f t="shared" si="35"/>
        <v>0</v>
      </c>
      <c r="K394" s="37"/>
      <c r="L394"/>
    </row>
    <row r="395" spans="3:12" x14ac:dyDescent="0.3">
      <c r="C395">
        <v>6</v>
      </c>
      <c r="D395" s="37">
        <v>46541</v>
      </c>
      <c r="E395">
        <v>0</v>
      </c>
      <c r="F395">
        <f t="shared" si="35"/>
        <v>0</v>
      </c>
      <c r="K395" s="37"/>
      <c r="L395"/>
    </row>
    <row r="396" spans="3:12" x14ac:dyDescent="0.3">
      <c r="C396">
        <v>6</v>
      </c>
      <c r="D396" s="37">
        <v>46542</v>
      </c>
      <c r="E396">
        <v>0</v>
      </c>
      <c r="F396">
        <f t="shared" si="35"/>
        <v>0</v>
      </c>
      <c r="K396" s="37"/>
      <c r="L396"/>
    </row>
    <row r="397" spans="3:12" x14ac:dyDescent="0.3">
      <c r="C397">
        <v>6</v>
      </c>
      <c r="D397" s="37">
        <v>46543</v>
      </c>
      <c r="E397">
        <v>0</v>
      </c>
      <c r="F397">
        <f t="shared" si="35"/>
        <v>0</v>
      </c>
      <c r="K397" s="37"/>
      <c r="L397"/>
    </row>
    <row r="398" spans="3:12" x14ac:dyDescent="0.3">
      <c r="C398">
        <v>6</v>
      </c>
      <c r="D398" s="37" cm="1">
        <f t="array" ref="D398:D404">TRANSPOSE(Calendar!B175:H175)</f>
        <v>46544</v>
      </c>
      <c r="E398" cm="1">
        <f t="array" ref="E398:E404">TRANSPOSE(Calendar!B176:H176)</f>
        <v>0</v>
      </c>
      <c r="F398">
        <f t="shared" si="35"/>
        <v>0</v>
      </c>
      <c r="K398" s="37"/>
      <c r="L398"/>
    </row>
    <row r="399" spans="3:12" x14ac:dyDescent="0.3">
      <c r="C399">
        <v>6</v>
      </c>
      <c r="D399" s="37">
        <v>46545</v>
      </c>
      <c r="E399">
        <v>0</v>
      </c>
      <c r="F399">
        <f t="shared" si="35"/>
        <v>0</v>
      </c>
      <c r="K399" s="37"/>
      <c r="L399"/>
    </row>
    <row r="400" spans="3:12" x14ac:dyDescent="0.3">
      <c r="C400">
        <v>6</v>
      </c>
      <c r="D400" s="37">
        <v>46546</v>
      </c>
      <c r="E400">
        <v>0</v>
      </c>
      <c r="F400">
        <f t="shared" si="35"/>
        <v>0</v>
      </c>
      <c r="K400" s="37"/>
      <c r="L400"/>
    </row>
    <row r="401" spans="3:12" x14ac:dyDescent="0.3">
      <c r="C401">
        <v>6</v>
      </c>
      <c r="D401" s="37">
        <v>46547</v>
      </c>
      <c r="E401">
        <v>0</v>
      </c>
      <c r="F401">
        <f t="shared" si="35"/>
        <v>0</v>
      </c>
      <c r="K401" s="37"/>
      <c r="L401"/>
    </row>
    <row r="402" spans="3:12" x14ac:dyDescent="0.3">
      <c r="C402">
        <v>6</v>
      </c>
      <c r="D402" s="37">
        <v>46548</v>
      </c>
      <c r="E402">
        <v>0</v>
      </c>
      <c r="F402">
        <f t="shared" si="35"/>
        <v>0</v>
      </c>
      <c r="K402" s="37"/>
      <c r="L402"/>
    </row>
    <row r="403" spans="3:12" x14ac:dyDescent="0.3">
      <c r="C403">
        <v>6</v>
      </c>
      <c r="D403" s="37">
        <v>46549</v>
      </c>
      <c r="E403">
        <v>0</v>
      </c>
      <c r="F403">
        <f t="shared" si="35"/>
        <v>0</v>
      </c>
      <c r="K403" s="37"/>
      <c r="L403"/>
    </row>
    <row r="404" spans="3:12" x14ac:dyDescent="0.3">
      <c r="C404">
        <v>6</v>
      </c>
      <c r="D404" s="37">
        <v>46550</v>
      </c>
      <c r="E404">
        <v>0</v>
      </c>
      <c r="F404">
        <f t="shared" si="35"/>
        <v>0</v>
      </c>
      <c r="K404" s="37"/>
      <c r="L404"/>
    </row>
    <row r="405" spans="3:12" x14ac:dyDescent="0.3">
      <c r="C405">
        <v>6</v>
      </c>
      <c r="D405" s="37" cm="1">
        <f t="array" ref="D405:D411">TRANSPOSE(Calendar!B177:H177)</f>
        <v>46551</v>
      </c>
      <c r="E405" cm="1">
        <f t="array" ref="E405:E411">TRANSPOSE(Calendar!B178:H178)</f>
        <v>0</v>
      </c>
      <c r="F405">
        <f t="shared" ref="F405:F464" si="36">IF(AND(MONTH(D405)=C405,D405&gt;=First_Operational_Day,D405&lt;=Last_Operational_Day,WEEKDAY(D405)&lt;&gt;1,WEEKDAY(D405)&lt;&gt;7,E405&lt;&gt;"Closed (non-operational)"),1,0)</f>
        <v>0</v>
      </c>
      <c r="K405" s="37"/>
      <c r="L405"/>
    </row>
    <row r="406" spans="3:12" x14ac:dyDescent="0.3">
      <c r="C406">
        <v>6</v>
      </c>
      <c r="D406" s="37">
        <v>46552</v>
      </c>
      <c r="E406">
        <v>0</v>
      </c>
      <c r="F406">
        <f t="shared" si="36"/>
        <v>0</v>
      </c>
      <c r="K406" s="37"/>
      <c r="L406"/>
    </row>
    <row r="407" spans="3:12" x14ac:dyDescent="0.3">
      <c r="C407">
        <v>6</v>
      </c>
      <c r="D407" s="37">
        <v>46553</v>
      </c>
      <c r="E407">
        <v>0</v>
      </c>
      <c r="F407">
        <f t="shared" si="36"/>
        <v>0</v>
      </c>
      <c r="K407" s="37"/>
      <c r="L407"/>
    </row>
    <row r="408" spans="3:12" x14ac:dyDescent="0.3">
      <c r="C408">
        <v>6</v>
      </c>
      <c r="D408" s="37">
        <v>46554</v>
      </c>
      <c r="E408">
        <v>0</v>
      </c>
      <c r="F408">
        <f t="shared" si="36"/>
        <v>0</v>
      </c>
      <c r="K408" s="37"/>
      <c r="L408"/>
    </row>
    <row r="409" spans="3:12" x14ac:dyDescent="0.3">
      <c r="C409">
        <v>6</v>
      </c>
      <c r="D409" s="37">
        <v>46555</v>
      </c>
      <c r="E409">
        <v>0</v>
      </c>
      <c r="F409">
        <f t="shared" si="36"/>
        <v>0</v>
      </c>
      <c r="K409" s="37"/>
      <c r="L409"/>
    </row>
    <row r="410" spans="3:12" x14ac:dyDescent="0.3">
      <c r="C410">
        <v>6</v>
      </c>
      <c r="D410" s="37">
        <v>46556</v>
      </c>
      <c r="E410">
        <v>0</v>
      </c>
      <c r="F410">
        <f t="shared" si="36"/>
        <v>0</v>
      </c>
      <c r="K410" s="37"/>
      <c r="L410"/>
    </row>
    <row r="411" spans="3:12" x14ac:dyDescent="0.3">
      <c r="C411">
        <v>6</v>
      </c>
      <c r="D411" s="37">
        <v>46557</v>
      </c>
      <c r="E411">
        <v>0</v>
      </c>
      <c r="F411">
        <f t="shared" si="36"/>
        <v>0</v>
      </c>
      <c r="K411" s="37"/>
      <c r="L411"/>
    </row>
    <row r="412" spans="3:12" x14ac:dyDescent="0.3">
      <c r="C412">
        <v>6</v>
      </c>
      <c r="D412" s="37" cm="1">
        <f t="array" ref="D412:D418">TRANSPOSE(Calendar!B179:H179)</f>
        <v>46558</v>
      </c>
      <c r="E412" cm="1">
        <f t="array" ref="E412:E418">TRANSPOSE(Calendar!B180:H180)</f>
        <v>0</v>
      </c>
      <c r="F412">
        <f t="shared" si="36"/>
        <v>0</v>
      </c>
      <c r="K412" s="37"/>
      <c r="L412"/>
    </row>
    <row r="413" spans="3:12" x14ac:dyDescent="0.3">
      <c r="C413">
        <v>6</v>
      </c>
      <c r="D413" s="37">
        <v>46559</v>
      </c>
      <c r="E413">
        <v>0</v>
      </c>
      <c r="F413">
        <f t="shared" si="36"/>
        <v>0</v>
      </c>
      <c r="K413" s="37"/>
      <c r="L413"/>
    </row>
    <row r="414" spans="3:12" x14ac:dyDescent="0.3">
      <c r="C414">
        <v>6</v>
      </c>
      <c r="D414" s="37">
        <v>46560</v>
      </c>
      <c r="E414">
        <v>0</v>
      </c>
      <c r="F414">
        <f t="shared" si="36"/>
        <v>0</v>
      </c>
      <c r="K414" s="37"/>
      <c r="L414"/>
    </row>
    <row r="415" spans="3:12" x14ac:dyDescent="0.3">
      <c r="C415">
        <v>6</v>
      </c>
      <c r="D415" s="37">
        <v>46561</v>
      </c>
      <c r="E415">
        <v>0</v>
      </c>
      <c r="F415">
        <f t="shared" si="36"/>
        <v>0</v>
      </c>
      <c r="K415" s="37"/>
      <c r="L415"/>
    </row>
    <row r="416" spans="3:12" x14ac:dyDescent="0.3">
      <c r="C416">
        <v>6</v>
      </c>
      <c r="D416" s="37">
        <v>46562</v>
      </c>
      <c r="E416">
        <v>0</v>
      </c>
      <c r="F416">
        <f t="shared" si="36"/>
        <v>0</v>
      </c>
      <c r="K416" s="37"/>
      <c r="L416"/>
    </row>
    <row r="417" spans="3:12" x14ac:dyDescent="0.3">
      <c r="C417">
        <v>6</v>
      </c>
      <c r="D417" s="37">
        <v>46563</v>
      </c>
      <c r="E417">
        <v>0</v>
      </c>
      <c r="F417">
        <f t="shared" si="36"/>
        <v>0</v>
      </c>
      <c r="K417" s="37"/>
      <c r="L417"/>
    </row>
    <row r="418" spans="3:12" x14ac:dyDescent="0.3">
      <c r="C418">
        <v>6</v>
      </c>
      <c r="D418" s="37">
        <v>46564</v>
      </c>
      <c r="E418">
        <v>0</v>
      </c>
      <c r="F418">
        <f t="shared" si="36"/>
        <v>0</v>
      </c>
      <c r="K418" s="37"/>
      <c r="L418"/>
    </row>
    <row r="419" spans="3:12" x14ac:dyDescent="0.3">
      <c r="C419">
        <v>6</v>
      </c>
      <c r="D419" s="37" cm="1">
        <f t="array" ref="D419:D425">TRANSPOSE(Calendar!B181:H181)</f>
        <v>46565</v>
      </c>
      <c r="E419" cm="1">
        <f t="array" ref="E419:E425">TRANSPOSE(Calendar!B182:H182)</f>
        <v>0</v>
      </c>
      <c r="F419">
        <f t="shared" si="36"/>
        <v>0</v>
      </c>
      <c r="K419" s="37"/>
      <c r="L419"/>
    </row>
    <row r="420" spans="3:12" x14ac:dyDescent="0.3">
      <c r="C420">
        <v>6</v>
      </c>
      <c r="D420" s="37">
        <v>46566</v>
      </c>
      <c r="E420">
        <v>0</v>
      </c>
      <c r="F420">
        <f t="shared" si="36"/>
        <v>0</v>
      </c>
      <c r="K420" s="37"/>
      <c r="L420"/>
    </row>
    <row r="421" spans="3:12" x14ac:dyDescent="0.3">
      <c r="C421">
        <v>6</v>
      </c>
      <c r="D421" s="37">
        <v>46567</v>
      </c>
      <c r="E421">
        <v>0</v>
      </c>
      <c r="F421">
        <f t="shared" si="36"/>
        <v>0</v>
      </c>
      <c r="K421" s="37"/>
      <c r="L421"/>
    </row>
    <row r="422" spans="3:12" x14ac:dyDescent="0.3">
      <c r="C422">
        <v>6</v>
      </c>
      <c r="D422" s="37">
        <v>46568</v>
      </c>
      <c r="E422">
        <v>0</v>
      </c>
      <c r="F422">
        <f t="shared" si="36"/>
        <v>0</v>
      </c>
      <c r="K422" s="37"/>
      <c r="L422"/>
    </row>
    <row r="423" spans="3:12" x14ac:dyDescent="0.3">
      <c r="C423">
        <v>6</v>
      </c>
      <c r="D423" s="37">
        <v>46569</v>
      </c>
      <c r="E423">
        <v>0</v>
      </c>
      <c r="F423">
        <f t="shared" si="36"/>
        <v>0</v>
      </c>
      <c r="K423" s="37"/>
      <c r="L423"/>
    </row>
    <row r="424" spans="3:12" x14ac:dyDescent="0.3">
      <c r="C424">
        <v>6</v>
      </c>
      <c r="D424" s="37">
        <v>46570</v>
      </c>
      <c r="E424">
        <v>0</v>
      </c>
      <c r="F424">
        <f t="shared" si="36"/>
        <v>0</v>
      </c>
      <c r="K424" s="37"/>
      <c r="L424"/>
    </row>
    <row r="425" spans="3:12" x14ac:dyDescent="0.3">
      <c r="C425">
        <v>6</v>
      </c>
      <c r="D425" s="37">
        <v>46571</v>
      </c>
      <c r="E425">
        <v>0</v>
      </c>
      <c r="F425">
        <f t="shared" si="36"/>
        <v>0</v>
      </c>
      <c r="K425" s="37"/>
      <c r="L425"/>
    </row>
    <row r="426" spans="3:12" x14ac:dyDescent="0.3">
      <c r="C426">
        <v>6</v>
      </c>
      <c r="D426" s="37" cm="1">
        <f t="array" ref="D426:D427">TRANSPOSE(Calendar!B183:C183)</f>
        <v>46572</v>
      </c>
      <c r="E426" cm="1">
        <f t="array" ref="E426">TRANSPOSE(Calendar!B184:B184)</f>
        <v>0</v>
      </c>
      <c r="F426">
        <f t="shared" si="36"/>
        <v>0</v>
      </c>
      <c r="K426" s="37"/>
      <c r="L426"/>
    </row>
    <row r="427" spans="3:12" x14ac:dyDescent="0.3">
      <c r="C427">
        <v>6</v>
      </c>
      <c r="D427" s="37">
        <v>46573</v>
      </c>
      <c r="E427"/>
      <c r="F427">
        <f t="shared" si="36"/>
        <v>0</v>
      </c>
      <c r="K427" s="37"/>
      <c r="L427"/>
    </row>
    <row r="428" spans="3:12" x14ac:dyDescent="0.3">
      <c r="C428">
        <v>7</v>
      </c>
      <c r="D428" s="37" cm="1">
        <f t="array" ref="D428:D434">TRANSPOSE(Calendar!B189:H189)</f>
        <v>46565</v>
      </c>
      <c r="E428" cm="1">
        <f t="array" ref="E428:E434">TRANSPOSE(Calendar!B190:H190)</f>
        <v>0</v>
      </c>
      <c r="F428">
        <f t="shared" si="36"/>
        <v>0</v>
      </c>
      <c r="K428" s="37"/>
      <c r="L428"/>
    </row>
    <row r="429" spans="3:12" x14ac:dyDescent="0.3">
      <c r="C429">
        <v>7</v>
      </c>
      <c r="D429" s="37">
        <v>46566</v>
      </c>
      <c r="E429">
        <v>0</v>
      </c>
      <c r="F429">
        <f t="shared" si="36"/>
        <v>0</v>
      </c>
      <c r="K429" s="37"/>
      <c r="L429"/>
    </row>
    <row r="430" spans="3:12" x14ac:dyDescent="0.3">
      <c r="C430">
        <v>7</v>
      </c>
      <c r="D430" s="37">
        <v>46567</v>
      </c>
      <c r="E430">
        <v>0</v>
      </c>
      <c r="F430">
        <f t="shared" si="36"/>
        <v>0</v>
      </c>
      <c r="K430" s="37"/>
      <c r="L430"/>
    </row>
    <row r="431" spans="3:12" x14ac:dyDescent="0.3">
      <c r="C431">
        <v>7</v>
      </c>
      <c r="D431" s="37">
        <v>46568</v>
      </c>
      <c r="E431">
        <v>0</v>
      </c>
      <c r="F431">
        <f t="shared" si="36"/>
        <v>0</v>
      </c>
      <c r="K431" s="37"/>
      <c r="L431"/>
    </row>
    <row r="432" spans="3:12" x14ac:dyDescent="0.3">
      <c r="C432">
        <v>7</v>
      </c>
      <c r="D432" s="37">
        <v>46569</v>
      </c>
      <c r="E432">
        <v>0</v>
      </c>
      <c r="F432">
        <f t="shared" si="36"/>
        <v>0</v>
      </c>
      <c r="K432" s="37"/>
      <c r="L432"/>
    </row>
    <row r="433" spans="3:12" x14ac:dyDescent="0.3">
      <c r="C433">
        <v>7</v>
      </c>
      <c r="D433" s="37">
        <v>46570</v>
      </c>
      <c r="E433">
        <v>0</v>
      </c>
      <c r="F433">
        <f t="shared" si="36"/>
        <v>0</v>
      </c>
      <c r="K433" s="37"/>
      <c r="L433"/>
    </row>
    <row r="434" spans="3:12" x14ac:dyDescent="0.3">
      <c r="C434">
        <v>7</v>
      </c>
      <c r="D434" s="37">
        <v>46571</v>
      </c>
      <c r="E434">
        <v>0</v>
      </c>
      <c r="F434">
        <f t="shared" si="36"/>
        <v>0</v>
      </c>
      <c r="K434" s="37"/>
      <c r="L434"/>
    </row>
    <row r="435" spans="3:12" x14ac:dyDescent="0.3">
      <c r="C435">
        <v>7</v>
      </c>
      <c r="D435" s="37" cm="1">
        <f t="array" ref="D435:D441">TRANSPOSE(Calendar!B191:H191)</f>
        <v>46572</v>
      </c>
      <c r="E435" cm="1">
        <f t="array" ref="E435:E441">TRANSPOSE(Calendar!B192:H192)</f>
        <v>0</v>
      </c>
      <c r="F435">
        <f t="shared" si="36"/>
        <v>0</v>
      </c>
      <c r="K435" s="37"/>
      <c r="L435"/>
    </row>
    <row r="436" spans="3:12" x14ac:dyDescent="0.3">
      <c r="C436">
        <v>7</v>
      </c>
      <c r="D436" s="37">
        <v>46573</v>
      </c>
      <c r="E436">
        <v>0</v>
      </c>
      <c r="F436">
        <f t="shared" si="36"/>
        <v>0</v>
      </c>
      <c r="K436" s="37"/>
      <c r="L436"/>
    </row>
    <row r="437" spans="3:12" x14ac:dyDescent="0.3">
      <c r="C437">
        <v>7</v>
      </c>
      <c r="D437" s="37">
        <v>46574</v>
      </c>
      <c r="E437">
        <v>0</v>
      </c>
      <c r="F437">
        <f t="shared" si="36"/>
        <v>0</v>
      </c>
      <c r="K437" s="37"/>
      <c r="L437"/>
    </row>
    <row r="438" spans="3:12" x14ac:dyDescent="0.3">
      <c r="C438">
        <v>7</v>
      </c>
      <c r="D438" s="37">
        <v>46575</v>
      </c>
      <c r="E438">
        <v>0</v>
      </c>
      <c r="F438">
        <f t="shared" si="36"/>
        <v>0</v>
      </c>
      <c r="K438" s="37"/>
      <c r="L438"/>
    </row>
    <row r="439" spans="3:12" x14ac:dyDescent="0.3">
      <c r="C439">
        <v>7</v>
      </c>
      <c r="D439" s="37">
        <v>46576</v>
      </c>
      <c r="E439">
        <v>0</v>
      </c>
      <c r="F439">
        <f t="shared" si="36"/>
        <v>0</v>
      </c>
      <c r="K439" s="37"/>
      <c r="L439"/>
    </row>
    <row r="440" spans="3:12" x14ac:dyDescent="0.3">
      <c r="C440">
        <v>7</v>
      </c>
      <c r="D440" s="37">
        <v>46577</v>
      </c>
      <c r="E440">
        <v>0</v>
      </c>
      <c r="F440">
        <f t="shared" si="36"/>
        <v>0</v>
      </c>
      <c r="K440" s="37"/>
      <c r="L440"/>
    </row>
    <row r="441" spans="3:12" x14ac:dyDescent="0.3">
      <c r="C441">
        <v>7</v>
      </c>
      <c r="D441" s="37">
        <v>46578</v>
      </c>
      <c r="E441">
        <v>0</v>
      </c>
      <c r="F441">
        <f t="shared" si="36"/>
        <v>0</v>
      </c>
      <c r="K441" s="37"/>
      <c r="L441"/>
    </row>
    <row r="442" spans="3:12" x14ac:dyDescent="0.3">
      <c r="C442">
        <v>7</v>
      </c>
      <c r="D442" s="37" cm="1">
        <f t="array" ref="D442:D448">TRANSPOSE(Calendar!B193:H193)</f>
        <v>46579</v>
      </c>
      <c r="E442" cm="1">
        <f t="array" ref="E442:E448">TRANSPOSE(Calendar!B194:H194)</f>
        <v>0</v>
      </c>
      <c r="F442">
        <f t="shared" si="36"/>
        <v>0</v>
      </c>
      <c r="K442" s="37"/>
      <c r="L442"/>
    </row>
    <row r="443" spans="3:12" x14ac:dyDescent="0.3">
      <c r="C443">
        <v>7</v>
      </c>
      <c r="D443" s="37">
        <v>46580</v>
      </c>
      <c r="E443">
        <v>0</v>
      </c>
      <c r="F443">
        <f t="shared" si="36"/>
        <v>0</v>
      </c>
      <c r="K443" s="37"/>
      <c r="L443"/>
    </row>
    <row r="444" spans="3:12" x14ac:dyDescent="0.3">
      <c r="C444">
        <v>7</v>
      </c>
      <c r="D444" s="37">
        <v>46581</v>
      </c>
      <c r="E444">
        <v>0</v>
      </c>
      <c r="F444">
        <f t="shared" si="36"/>
        <v>0</v>
      </c>
      <c r="K444" s="37"/>
      <c r="L444"/>
    </row>
    <row r="445" spans="3:12" x14ac:dyDescent="0.3">
      <c r="C445">
        <v>7</v>
      </c>
      <c r="D445" s="37">
        <v>46582</v>
      </c>
      <c r="E445">
        <v>0</v>
      </c>
      <c r="F445">
        <f t="shared" si="36"/>
        <v>0</v>
      </c>
      <c r="K445" s="37"/>
      <c r="L445"/>
    </row>
    <row r="446" spans="3:12" x14ac:dyDescent="0.3">
      <c r="C446">
        <v>7</v>
      </c>
      <c r="D446" s="37">
        <v>46583</v>
      </c>
      <c r="E446">
        <v>0</v>
      </c>
      <c r="F446">
        <f t="shared" si="36"/>
        <v>0</v>
      </c>
      <c r="K446" s="37"/>
      <c r="L446"/>
    </row>
    <row r="447" spans="3:12" x14ac:dyDescent="0.3">
      <c r="C447">
        <v>7</v>
      </c>
      <c r="D447" s="37">
        <v>46584</v>
      </c>
      <c r="E447">
        <v>0</v>
      </c>
      <c r="F447">
        <f t="shared" si="36"/>
        <v>0</v>
      </c>
      <c r="K447" s="37"/>
      <c r="L447"/>
    </row>
    <row r="448" spans="3:12" x14ac:dyDescent="0.3">
      <c r="C448">
        <v>7</v>
      </c>
      <c r="D448" s="37">
        <v>46585</v>
      </c>
      <c r="E448">
        <v>0</v>
      </c>
      <c r="F448">
        <f t="shared" si="36"/>
        <v>0</v>
      </c>
      <c r="K448" s="37"/>
      <c r="L448"/>
    </row>
    <row r="449" spans="3:12" x14ac:dyDescent="0.3">
      <c r="C449">
        <v>7</v>
      </c>
      <c r="D449" s="37" cm="1">
        <f t="array" ref="D449:D455">TRANSPOSE(Calendar!B195:H195)</f>
        <v>46586</v>
      </c>
      <c r="E449" cm="1">
        <f t="array" ref="E449:E455">TRANSPOSE(Calendar!B196:H196)</f>
        <v>0</v>
      </c>
      <c r="F449">
        <f t="shared" si="36"/>
        <v>0</v>
      </c>
      <c r="K449" s="37"/>
      <c r="L449"/>
    </row>
    <row r="450" spans="3:12" x14ac:dyDescent="0.3">
      <c r="C450">
        <v>7</v>
      </c>
      <c r="D450" s="37">
        <v>46587</v>
      </c>
      <c r="E450">
        <v>0</v>
      </c>
      <c r="F450">
        <f t="shared" si="36"/>
        <v>0</v>
      </c>
      <c r="K450" s="37"/>
      <c r="L450"/>
    </row>
    <row r="451" spans="3:12" x14ac:dyDescent="0.3">
      <c r="C451">
        <v>7</v>
      </c>
      <c r="D451" s="37">
        <v>46588</v>
      </c>
      <c r="E451">
        <v>0</v>
      </c>
      <c r="F451">
        <f t="shared" si="36"/>
        <v>0</v>
      </c>
      <c r="K451" s="37"/>
      <c r="L451"/>
    </row>
    <row r="452" spans="3:12" x14ac:dyDescent="0.3">
      <c r="C452">
        <v>7</v>
      </c>
      <c r="D452" s="37">
        <v>46589</v>
      </c>
      <c r="E452">
        <v>0</v>
      </c>
      <c r="F452">
        <f t="shared" si="36"/>
        <v>0</v>
      </c>
      <c r="K452" s="37"/>
      <c r="L452"/>
    </row>
    <row r="453" spans="3:12" x14ac:dyDescent="0.3">
      <c r="C453">
        <v>7</v>
      </c>
      <c r="D453" s="37">
        <v>46590</v>
      </c>
      <c r="E453">
        <v>0</v>
      </c>
      <c r="F453">
        <f t="shared" si="36"/>
        <v>0</v>
      </c>
      <c r="K453" s="37"/>
      <c r="L453"/>
    </row>
    <row r="454" spans="3:12" x14ac:dyDescent="0.3">
      <c r="C454">
        <v>7</v>
      </c>
      <c r="D454" s="37">
        <v>46591</v>
      </c>
      <c r="E454">
        <v>0</v>
      </c>
      <c r="F454">
        <f t="shared" si="36"/>
        <v>0</v>
      </c>
      <c r="K454" s="37"/>
      <c r="L454"/>
    </row>
    <row r="455" spans="3:12" x14ac:dyDescent="0.3">
      <c r="C455">
        <v>7</v>
      </c>
      <c r="D455" s="37">
        <v>46592</v>
      </c>
      <c r="E455">
        <v>0</v>
      </c>
      <c r="F455">
        <f t="shared" si="36"/>
        <v>0</v>
      </c>
      <c r="K455" s="37"/>
      <c r="L455"/>
    </row>
    <row r="456" spans="3:12" x14ac:dyDescent="0.3">
      <c r="C456">
        <v>7</v>
      </c>
      <c r="D456" s="37" cm="1">
        <f t="array" ref="D456:D462">TRANSPOSE(Calendar!B197:H197)</f>
        <v>46593</v>
      </c>
      <c r="E456" cm="1">
        <f t="array" ref="E456:E462">TRANSPOSE(Calendar!B198:H198)</f>
        <v>0</v>
      </c>
      <c r="F456">
        <f t="shared" si="36"/>
        <v>0</v>
      </c>
      <c r="K456" s="37"/>
      <c r="L456"/>
    </row>
    <row r="457" spans="3:12" x14ac:dyDescent="0.3">
      <c r="C457">
        <v>7</v>
      </c>
      <c r="D457" s="37">
        <v>46594</v>
      </c>
      <c r="E457">
        <v>0</v>
      </c>
      <c r="F457">
        <f t="shared" si="36"/>
        <v>0</v>
      </c>
      <c r="K457" s="37"/>
      <c r="L457"/>
    </row>
    <row r="458" spans="3:12" x14ac:dyDescent="0.3">
      <c r="C458">
        <v>7</v>
      </c>
      <c r="D458" s="37">
        <v>46595</v>
      </c>
      <c r="E458">
        <v>0</v>
      </c>
      <c r="F458">
        <f t="shared" si="36"/>
        <v>0</v>
      </c>
      <c r="K458" s="37"/>
      <c r="L458"/>
    </row>
    <row r="459" spans="3:12" x14ac:dyDescent="0.3">
      <c r="C459">
        <v>7</v>
      </c>
      <c r="D459" s="37">
        <v>46596</v>
      </c>
      <c r="E459">
        <v>0</v>
      </c>
      <c r="F459">
        <f t="shared" si="36"/>
        <v>0</v>
      </c>
      <c r="K459" s="37"/>
      <c r="L459"/>
    </row>
    <row r="460" spans="3:12" x14ac:dyDescent="0.3">
      <c r="C460">
        <v>7</v>
      </c>
      <c r="D460" s="37">
        <v>46597</v>
      </c>
      <c r="E460">
        <v>0</v>
      </c>
      <c r="F460">
        <f t="shared" si="36"/>
        <v>0</v>
      </c>
      <c r="K460" s="37"/>
      <c r="L460"/>
    </row>
    <row r="461" spans="3:12" x14ac:dyDescent="0.3">
      <c r="C461">
        <v>7</v>
      </c>
      <c r="D461" s="37">
        <v>46598</v>
      </c>
      <c r="E461">
        <v>0</v>
      </c>
      <c r="F461">
        <f t="shared" si="36"/>
        <v>0</v>
      </c>
      <c r="K461" s="37"/>
      <c r="L461"/>
    </row>
    <row r="462" spans="3:12" x14ac:dyDescent="0.3">
      <c r="C462">
        <v>7</v>
      </c>
      <c r="D462" s="37">
        <v>46599</v>
      </c>
      <c r="E462">
        <v>0</v>
      </c>
      <c r="F462">
        <f t="shared" si="36"/>
        <v>0</v>
      </c>
      <c r="K462" s="37"/>
      <c r="L462"/>
    </row>
    <row r="463" spans="3:12" x14ac:dyDescent="0.3">
      <c r="C463">
        <v>7</v>
      </c>
      <c r="D463" s="37" cm="1">
        <f t="array" ref="D463:D464">TRANSPOSE(Calendar!B199:C199)</f>
        <v>46600</v>
      </c>
      <c r="E463" cm="1">
        <f t="array" ref="E463:E464">TRANSPOSE(Calendar!B200:C200)</f>
        <v>0</v>
      </c>
      <c r="F463">
        <f t="shared" si="36"/>
        <v>0</v>
      </c>
      <c r="K463" s="37"/>
      <c r="L463"/>
    </row>
    <row r="464" spans="3:12" x14ac:dyDescent="0.3">
      <c r="C464">
        <v>7</v>
      </c>
      <c r="D464" s="37">
        <v>46601</v>
      </c>
      <c r="E464">
        <v>0</v>
      </c>
      <c r="F464">
        <f t="shared" si="36"/>
        <v>0</v>
      </c>
      <c r="K464" s="37"/>
      <c r="L464"/>
    </row>
    <row r="465" spans="5:5" x14ac:dyDescent="0.3">
      <c r="E465"/>
    </row>
    <row r="466" spans="5:5" x14ac:dyDescent="0.3">
      <c r="E466"/>
    </row>
    <row r="467" spans="5:5" x14ac:dyDescent="0.3">
      <c r="E467"/>
    </row>
    <row r="468" spans="5:5" x14ac:dyDescent="0.3">
      <c r="E468"/>
    </row>
    <row r="469" spans="5:5" x14ac:dyDescent="0.3">
      <c r="E469"/>
    </row>
    <row r="470" spans="5:5" x14ac:dyDescent="0.3">
      <c r="E470"/>
    </row>
    <row r="471" spans="5:5" x14ac:dyDescent="0.3">
      <c r="E471"/>
    </row>
    <row r="472" spans="5:5" x14ac:dyDescent="0.3">
      <c r="E472"/>
    </row>
    <row r="473" spans="5:5" x14ac:dyDescent="0.3">
      <c r="E473"/>
    </row>
    <row r="474" spans="5:5" x14ac:dyDescent="0.3">
      <c r="E474"/>
    </row>
    <row r="475" spans="5:5" x14ac:dyDescent="0.3">
      <c r="E475"/>
    </row>
    <row r="476" spans="5:5" x14ac:dyDescent="0.3">
      <c r="E476"/>
    </row>
    <row r="477" spans="5:5" x14ac:dyDescent="0.3">
      <c r="E477"/>
    </row>
    <row r="478" spans="5:5" x14ac:dyDescent="0.3">
      <c r="E478"/>
    </row>
    <row r="479" spans="5:5" x14ac:dyDescent="0.3">
      <c r="E479"/>
    </row>
    <row r="480" spans="5:5" x14ac:dyDescent="0.3">
      <c r="E480"/>
    </row>
    <row r="481" spans="5:5" x14ac:dyDescent="0.3">
      <c r="E481"/>
    </row>
    <row r="482" spans="5:5" x14ac:dyDescent="0.3">
      <c r="E482"/>
    </row>
    <row r="483" spans="5:5" x14ac:dyDescent="0.3">
      <c r="E483"/>
    </row>
    <row r="484" spans="5:5" x14ac:dyDescent="0.3">
      <c r="E484"/>
    </row>
    <row r="485" spans="5:5" x14ac:dyDescent="0.3">
      <c r="E485"/>
    </row>
    <row r="486" spans="5:5" x14ac:dyDescent="0.3">
      <c r="E486"/>
    </row>
    <row r="487" spans="5:5" x14ac:dyDescent="0.3">
      <c r="E487"/>
    </row>
    <row r="488" spans="5:5" x14ac:dyDescent="0.3">
      <c r="E488"/>
    </row>
    <row r="489" spans="5:5" x14ac:dyDescent="0.3">
      <c r="E489"/>
    </row>
    <row r="490" spans="5:5" x14ac:dyDescent="0.3">
      <c r="E490"/>
    </row>
    <row r="491" spans="5:5" x14ac:dyDescent="0.3">
      <c r="E491"/>
    </row>
    <row r="492" spans="5:5" x14ac:dyDescent="0.3">
      <c r="E492"/>
    </row>
    <row r="493" spans="5:5" x14ac:dyDescent="0.3">
      <c r="E493"/>
    </row>
    <row r="494" spans="5:5" x14ac:dyDescent="0.3">
      <c r="E494"/>
    </row>
    <row r="495" spans="5:5" x14ac:dyDescent="0.3">
      <c r="E495"/>
    </row>
    <row r="496" spans="5:5" x14ac:dyDescent="0.3">
      <c r="E496"/>
    </row>
    <row r="497" spans="5:5" x14ac:dyDescent="0.3">
      <c r="E497"/>
    </row>
    <row r="498" spans="5:5" x14ac:dyDescent="0.3">
      <c r="E498"/>
    </row>
    <row r="499" spans="5:5" x14ac:dyDescent="0.3">
      <c r="E499"/>
    </row>
    <row r="500" spans="5:5" x14ac:dyDescent="0.3">
      <c r="E500"/>
    </row>
    <row r="501" spans="5:5" x14ac:dyDescent="0.3">
      <c r="E501"/>
    </row>
    <row r="502" spans="5:5" x14ac:dyDescent="0.3">
      <c r="E502"/>
    </row>
    <row r="503" spans="5:5" x14ac:dyDescent="0.3">
      <c r="E503"/>
    </row>
    <row r="504" spans="5:5" x14ac:dyDescent="0.3">
      <c r="E504"/>
    </row>
    <row r="505" spans="5:5" x14ac:dyDescent="0.3">
      <c r="E505"/>
    </row>
    <row r="506" spans="5:5" x14ac:dyDescent="0.3">
      <c r="E506"/>
    </row>
    <row r="507" spans="5:5" x14ac:dyDescent="0.3">
      <c r="E507"/>
    </row>
    <row r="508" spans="5:5" x14ac:dyDescent="0.3">
      <c r="E508"/>
    </row>
    <row r="509" spans="5:5" x14ac:dyDescent="0.3">
      <c r="E509"/>
    </row>
    <row r="510" spans="5:5" x14ac:dyDescent="0.3">
      <c r="E510"/>
    </row>
    <row r="511" spans="5:5" x14ac:dyDescent="0.3">
      <c r="E511"/>
    </row>
    <row r="512" spans="5:5" x14ac:dyDescent="0.3">
      <c r="E512"/>
    </row>
    <row r="513" spans="5:5" x14ac:dyDescent="0.3">
      <c r="E513"/>
    </row>
    <row r="514" spans="5:5" x14ac:dyDescent="0.3">
      <c r="E514"/>
    </row>
    <row r="515" spans="5:5" x14ac:dyDescent="0.3">
      <c r="E515"/>
    </row>
    <row r="516" spans="5:5" x14ac:dyDescent="0.3">
      <c r="E516"/>
    </row>
    <row r="517" spans="5:5" x14ac:dyDescent="0.3">
      <c r="E517"/>
    </row>
    <row r="518" spans="5:5" x14ac:dyDescent="0.3">
      <c r="E518"/>
    </row>
    <row r="519" spans="5:5" x14ac:dyDescent="0.3">
      <c r="E519"/>
    </row>
    <row r="520" spans="5:5" x14ac:dyDescent="0.3">
      <c r="E520"/>
    </row>
    <row r="521" spans="5:5" x14ac:dyDescent="0.3">
      <c r="E521"/>
    </row>
    <row r="522" spans="5:5" x14ac:dyDescent="0.3">
      <c r="E522"/>
    </row>
    <row r="523" spans="5:5" x14ac:dyDescent="0.3">
      <c r="E523"/>
    </row>
    <row r="524" spans="5:5" x14ac:dyDescent="0.3">
      <c r="E524"/>
    </row>
    <row r="525" spans="5:5" x14ac:dyDescent="0.3">
      <c r="E525"/>
    </row>
    <row r="526" spans="5:5" x14ac:dyDescent="0.3">
      <c r="E526"/>
    </row>
    <row r="527" spans="5:5" x14ac:dyDescent="0.3">
      <c r="E527"/>
    </row>
    <row r="528" spans="5:5" x14ac:dyDescent="0.3">
      <c r="E528"/>
    </row>
    <row r="529" spans="5:5" x14ac:dyDescent="0.3">
      <c r="E529"/>
    </row>
    <row r="530" spans="5:5" x14ac:dyDescent="0.3">
      <c r="E530"/>
    </row>
    <row r="531" spans="5:5" x14ac:dyDescent="0.3">
      <c r="E531"/>
    </row>
    <row r="532" spans="5:5" x14ac:dyDescent="0.3">
      <c r="E532"/>
    </row>
    <row r="533" spans="5:5" x14ac:dyDescent="0.3">
      <c r="E533"/>
    </row>
    <row r="534" spans="5:5" x14ac:dyDescent="0.3">
      <c r="E534"/>
    </row>
    <row r="535" spans="5:5" x14ac:dyDescent="0.3">
      <c r="E535"/>
    </row>
    <row r="536" spans="5:5" x14ac:dyDescent="0.3">
      <c r="E536"/>
    </row>
    <row r="537" spans="5:5" x14ac:dyDescent="0.3">
      <c r="E537"/>
    </row>
    <row r="538" spans="5:5" x14ac:dyDescent="0.3">
      <c r="E538"/>
    </row>
    <row r="539" spans="5:5" x14ac:dyDescent="0.3">
      <c r="E539"/>
    </row>
    <row r="540" spans="5:5" x14ac:dyDescent="0.3">
      <c r="E540"/>
    </row>
    <row r="541" spans="5:5" x14ac:dyDescent="0.3">
      <c r="E541"/>
    </row>
    <row r="542" spans="5:5" x14ac:dyDescent="0.3">
      <c r="E542"/>
    </row>
    <row r="543" spans="5:5" x14ac:dyDescent="0.3">
      <c r="E543"/>
    </row>
    <row r="544" spans="5:5" x14ac:dyDescent="0.3">
      <c r="E544"/>
    </row>
    <row r="545" spans="5:5" x14ac:dyDescent="0.3">
      <c r="E545"/>
    </row>
    <row r="546" spans="5:5" x14ac:dyDescent="0.3">
      <c r="E546"/>
    </row>
    <row r="547" spans="5:5" x14ac:dyDescent="0.3">
      <c r="E547"/>
    </row>
    <row r="548" spans="5:5" x14ac:dyDescent="0.3">
      <c r="E548"/>
    </row>
    <row r="549" spans="5:5" x14ac:dyDescent="0.3">
      <c r="E549"/>
    </row>
    <row r="550" spans="5:5" x14ac:dyDescent="0.3">
      <c r="E550"/>
    </row>
    <row r="551" spans="5:5" x14ac:dyDescent="0.3">
      <c r="E551"/>
    </row>
    <row r="552" spans="5:5" x14ac:dyDescent="0.3">
      <c r="E552"/>
    </row>
    <row r="553" spans="5:5" x14ac:dyDescent="0.3">
      <c r="E553"/>
    </row>
    <row r="554" spans="5:5" x14ac:dyDescent="0.3">
      <c r="E554"/>
    </row>
    <row r="555" spans="5:5" x14ac:dyDescent="0.3">
      <c r="E555"/>
    </row>
    <row r="556" spans="5:5" x14ac:dyDescent="0.3">
      <c r="E556"/>
    </row>
    <row r="557" spans="5:5" x14ac:dyDescent="0.3">
      <c r="E557"/>
    </row>
    <row r="558" spans="5:5" x14ac:dyDescent="0.3">
      <c r="E558"/>
    </row>
    <row r="559" spans="5:5" x14ac:dyDescent="0.3">
      <c r="E559"/>
    </row>
    <row r="560" spans="5:5" x14ac:dyDescent="0.3">
      <c r="E560"/>
    </row>
    <row r="561" spans="5:5" x14ac:dyDescent="0.3">
      <c r="E561"/>
    </row>
    <row r="562" spans="5:5" x14ac:dyDescent="0.3">
      <c r="E562"/>
    </row>
    <row r="563" spans="5:5" x14ac:dyDescent="0.3">
      <c r="E563"/>
    </row>
    <row r="564" spans="5:5" x14ac:dyDescent="0.3">
      <c r="E564"/>
    </row>
    <row r="565" spans="5:5" x14ac:dyDescent="0.3">
      <c r="E565"/>
    </row>
    <row r="566" spans="5:5" x14ac:dyDescent="0.3">
      <c r="E566"/>
    </row>
    <row r="567" spans="5:5" x14ac:dyDescent="0.3">
      <c r="E567"/>
    </row>
    <row r="568" spans="5:5" x14ac:dyDescent="0.3">
      <c r="E568"/>
    </row>
    <row r="569" spans="5:5" x14ac:dyDescent="0.3">
      <c r="E569"/>
    </row>
    <row r="570" spans="5:5" x14ac:dyDescent="0.3">
      <c r="E570"/>
    </row>
    <row r="571" spans="5:5" x14ac:dyDescent="0.3">
      <c r="E571"/>
    </row>
    <row r="572" spans="5:5" x14ac:dyDescent="0.3">
      <c r="E572"/>
    </row>
    <row r="573" spans="5:5" x14ac:dyDescent="0.3">
      <c r="E573"/>
    </row>
    <row r="574" spans="5:5" x14ac:dyDescent="0.3">
      <c r="E574"/>
    </row>
    <row r="575" spans="5:5" x14ac:dyDescent="0.3">
      <c r="E575"/>
    </row>
    <row r="576" spans="5:5" x14ac:dyDescent="0.3">
      <c r="E576"/>
    </row>
    <row r="577" spans="5:5" x14ac:dyDescent="0.3">
      <c r="E577"/>
    </row>
    <row r="578" spans="5:5" x14ac:dyDescent="0.3">
      <c r="E578"/>
    </row>
    <row r="579" spans="5:5" x14ac:dyDescent="0.3">
      <c r="E579"/>
    </row>
    <row r="580" spans="5:5" x14ac:dyDescent="0.3">
      <c r="E580"/>
    </row>
    <row r="581" spans="5:5" x14ac:dyDescent="0.3">
      <c r="E581"/>
    </row>
    <row r="582" spans="5:5" x14ac:dyDescent="0.3">
      <c r="E582"/>
    </row>
    <row r="583" spans="5:5" x14ac:dyDescent="0.3">
      <c r="E583"/>
    </row>
    <row r="584" spans="5:5" x14ac:dyDescent="0.3">
      <c r="E584"/>
    </row>
    <row r="585" spans="5:5" x14ac:dyDescent="0.3">
      <c r="E585"/>
    </row>
    <row r="586" spans="5:5" x14ac:dyDescent="0.3">
      <c r="E586"/>
    </row>
    <row r="587" spans="5:5" x14ac:dyDescent="0.3">
      <c r="E587"/>
    </row>
    <row r="588" spans="5:5" x14ac:dyDescent="0.3">
      <c r="E588"/>
    </row>
    <row r="589" spans="5:5" x14ac:dyDescent="0.3">
      <c r="E589"/>
    </row>
    <row r="590" spans="5:5" x14ac:dyDescent="0.3">
      <c r="E590"/>
    </row>
    <row r="591" spans="5:5" x14ac:dyDescent="0.3">
      <c r="E591"/>
    </row>
    <row r="592" spans="5:5" x14ac:dyDescent="0.3">
      <c r="E592"/>
    </row>
    <row r="593" spans="5:5" x14ac:dyDescent="0.3">
      <c r="E593"/>
    </row>
    <row r="594" spans="5:5" x14ac:dyDescent="0.3">
      <c r="E594"/>
    </row>
    <row r="595" spans="5:5" x14ac:dyDescent="0.3">
      <c r="E595"/>
    </row>
    <row r="596" spans="5:5" x14ac:dyDescent="0.3">
      <c r="E596"/>
    </row>
    <row r="597" spans="5:5" x14ac:dyDescent="0.3">
      <c r="E597"/>
    </row>
    <row r="598" spans="5:5" x14ac:dyDescent="0.3">
      <c r="E598"/>
    </row>
    <row r="599" spans="5:5" x14ac:dyDescent="0.3">
      <c r="E599"/>
    </row>
    <row r="600" spans="5:5" x14ac:dyDescent="0.3">
      <c r="E600"/>
    </row>
    <row r="601" spans="5:5" x14ac:dyDescent="0.3">
      <c r="E601"/>
    </row>
    <row r="602" spans="5:5" x14ac:dyDescent="0.3">
      <c r="E602"/>
    </row>
    <row r="603" spans="5:5" x14ac:dyDescent="0.3">
      <c r="E603"/>
    </row>
    <row r="604" spans="5:5" x14ac:dyDescent="0.3">
      <c r="E604"/>
    </row>
    <row r="605" spans="5:5" x14ac:dyDescent="0.3">
      <c r="E605"/>
    </row>
    <row r="606" spans="5:5" x14ac:dyDescent="0.3">
      <c r="E606"/>
    </row>
    <row r="607" spans="5:5" x14ac:dyDescent="0.3">
      <c r="E607"/>
    </row>
    <row r="608" spans="5:5" x14ac:dyDescent="0.3">
      <c r="E608"/>
    </row>
    <row r="609" spans="5:5" x14ac:dyDescent="0.3">
      <c r="E609"/>
    </row>
    <row r="610" spans="5:5" x14ac:dyDescent="0.3">
      <c r="E610"/>
    </row>
    <row r="611" spans="5:5" x14ac:dyDescent="0.3">
      <c r="E611"/>
    </row>
    <row r="612" spans="5:5" x14ac:dyDescent="0.3">
      <c r="E612"/>
    </row>
    <row r="613" spans="5:5" x14ac:dyDescent="0.3">
      <c r="E613"/>
    </row>
    <row r="614" spans="5:5" x14ac:dyDescent="0.3">
      <c r="E614"/>
    </row>
    <row r="615" spans="5:5" x14ac:dyDescent="0.3">
      <c r="E615"/>
    </row>
    <row r="616" spans="5:5" x14ac:dyDescent="0.3">
      <c r="E616"/>
    </row>
    <row r="617" spans="5:5" x14ac:dyDescent="0.3">
      <c r="E617"/>
    </row>
    <row r="618" spans="5:5" x14ac:dyDescent="0.3">
      <c r="E618"/>
    </row>
    <row r="619" spans="5:5" x14ac:dyDescent="0.3">
      <c r="E619"/>
    </row>
    <row r="620" spans="5:5" x14ac:dyDescent="0.3">
      <c r="E620"/>
    </row>
    <row r="621" spans="5:5" x14ac:dyDescent="0.3">
      <c r="E621"/>
    </row>
    <row r="622" spans="5:5" x14ac:dyDescent="0.3">
      <c r="E622"/>
    </row>
    <row r="623" spans="5:5" x14ac:dyDescent="0.3">
      <c r="E623"/>
    </row>
    <row r="624" spans="5:5" x14ac:dyDescent="0.3">
      <c r="E624"/>
    </row>
    <row r="625" spans="5:5" x14ac:dyDescent="0.3">
      <c r="E625"/>
    </row>
    <row r="626" spans="5:5" x14ac:dyDescent="0.3">
      <c r="E626"/>
    </row>
    <row r="627" spans="5:5" x14ac:dyDescent="0.3">
      <c r="E627"/>
    </row>
    <row r="628" spans="5:5" x14ac:dyDescent="0.3">
      <c r="E628"/>
    </row>
    <row r="629" spans="5:5" x14ac:dyDescent="0.3">
      <c r="E629"/>
    </row>
    <row r="630" spans="5:5" x14ac:dyDescent="0.3">
      <c r="E630"/>
    </row>
    <row r="631" spans="5:5" x14ac:dyDescent="0.3">
      <c r="E631"/>
    </row>
    <row r="632" spans="5:5" x14ac:dyDescent="0.3">
      <c r="E632"/>
    </row>
    <row r="633" spans="5:5" x14ac:dyDescent="0.3">
      <c r="E633"/>
    </row>
    <row r="634" spans="5:5" x14ac:dyDescent="0.3">
      <c r="E634"/>
    </row>
    <row r="635" spans="5:5" x14ac:dyDescent="0.3">
      <c r="E635"/>
    </row>
    <row r="636" spans="5:5" x14ac:dyDescent="0.3">
      <c r="E636"/>
    </row>
    <row r="637" spans="5:5" x14ac:dyDescent="0.3">
      <c r="E637"/>
    </row>
    <row r="638" spans="5:5" x14ac:dyDescent="0.3">
      <c r="E638"/>
    </row>
    <row r="639" spans="5:5" x14ac:dyDescent="0.3">
      <c r="E639"/>
    </row>
    <row r="640" spans="5:5" x14ac:dyDescent="0.3">
      <c r="E640"/>
    </row>
    <row r="641" spans="5:5" x14ac:dyDescent="0.3">
      <c r="E641"/>
    </row>
    <row r="642" spans="5:5" x14ac:dyDescent="0.3">
      <c r="E642"/>
    </row>
    <row r="643" spans="5:5" x14ac:dyDescent="0.3">
      <c r="E643"/>
    </row>
    <row r="644" spans="5:5" x14ac:dyDescent="0.3">
      <c r="E644"/>
    </row>
    <row r="645" spans="5:5" x14ac:dyDescent="0.3">
      <c r="E645"/>
    </row>
    <row r="646" spans="5:5" x14ac:dyDescent="0.3">
      <c r="E646"/>
    </row>
    <row r="647" spans="5:5" x14ac:dyDescent="0.3">
      <c r="E647"/>
    </row>
    <row r="648" spans="5:5" x14ac:dyDescent="0.3">
      <c r="E648"/>
    </row>
    <row r="649" spans="5:5" x14ac:dyDescent="0.3">
      <c r="E649"/>
    </row>
    <row r="650" spans="5:5" x14ac:dyDescent="0.3">
      <c r="E650"/>
    </row>
    <row r="651" spans="5:5" x14ac:dyDescent="0.3">
      <c r="E651"/>
    </row>
    <row r="652" spans="5:5" x14ac:dyDescent="0.3">
      <c r="E652"/>
    </row>
    <row r="653" spans="5:5" x14ac:dyDescent="0.3">
      <c r="E653"/>
    </row>
    <row r="654" spans="5:5" x14ac:dyDescent="0.3">
      <c r="E654"/>
    </row>
    <row r="655" spans="5:5" x14ac:dyDescent="0.3">
      <c r="E655"/>
    </row>
    <row r="656" spans="5:5" x14ac:dyDescent="0.3">
      <c r="E656"/>
    </row>
    <row r="657" spans="5:5" x14ac:dyDescent="0.3">
      <c r="E657"/>
    </row>
    <row r="658" spans="5:5" x14ac:dyDescent="0.3">
      <c r="E658"/>
    </row>
    <row r="659" spans="5:5" x14ac:dyDescent="0.3">
      <c r="E659"/>
    </row>
    <row r="660" spans="5:5" x14ac:dyDescent="0.3">
      <c r="E660"/>
    </row>
    <row r="661" spans="5:5" x14ac:dyDescent="0.3">
      <c r="E661"/>
    </row>
    <row r="662" spans="5:5" x14ac:dyDescent="0.3">
      <c r="E662"/>
    </row>
    <row r="663" spans="5:5" x14ac:dyDescent="0.3">
      <c r="E663"/>
    </row>
    <row r="664" spans="5:5" x14ac:dyDescent="0.3">
      <c r="E664"/>
    </row>
    <row r="665" spans="5:5" x14ac:dyDescent="0.3">
      <c r="E665"/>
    </row>
    <row r="666" spans="5:5" x14ac:dyDescent="0.3">
      <c r="E666"/>
    </row>
    <row r="667" spans="5:5" x14ac:dyDescent="0.3">
      <c r="E667"/>
    </row>
    <row r="668" spans="5:5" x14ac:dyDescent="0.3">
      <c r="E668"/>
    </row>
    <row r="669" spans="5:5" x14ac:dyDescent="0.3">
      <c r="E669"/>
    </row>
    <row r="670" spans="5:5" x14ac:dyDescent="0.3">
      <c r="E670"/>
    </row>
    <row r="671" spans="5:5" x14ac:dyDescent="0.3">
      <c r="E671"/>
    </row>
    <row r="672" spans="5:5" x14ac:dyDescent="0.3">
      <c r="E672"/>
    </row>
    <row r="673" spans="5:5" x14ac:dyDescent="0.3">
      <c r="E673"/>
    </row>
    <row r="674" spans="5:5" x14ac:dyDescent="0.3">
      <c r="E674"/>
    </row>
    <row r="675" spans="5:5" x14ac:dyDescent="0.3">
      <c r="E675"/>
    </row>
    <row r="676" spans="5:5" x14ac:dyDescent="0.3">
      <c r="E676"/>
    </row>
    <row r="677" spans="5:5" x14ac:dyDescent="0.3">
      <c r="E677"/>
    </row>
    <row r="678" spans="5:5" x14ac:dyDescent="0.3">
      <c r="E678"/>
    </row>
    <row r="679" spans="5:5" x14ac:dyDescent="0.3">
      <c r="E679"/>
    </row>
    <row r="680" spans="5:5" x14ac:dyDescent="0.3">
      <c r="E680"/>
    </row>
    <row r="681" spans="5:5" x14ac:dyDescent="0.3">
      <c r="E681"/>
    </row>
    <row r="682" spans="5:5" x14ac:dyDescent="0.3">
      <c r="E682"/>
    </row>
    <row r="683" spans="5:5" x14ac:dyDescent="0.3">
      <c r="E683"/>
    </row>
    <row r="684" spans="5:5" x14ac:dyDescent="0.3">
      <c r="E684"/>
    </row>
    <row r="685" spans="5:5" x14ac:dyDescent="0.3">
      <c r="E685"/>
    </row>
    <row r="686" spans="5:5" x14ac:dyDescent="0.3">
      <c r="E686"/>
    </row>
    <row r="687" spans="5:5" x14ac:dyDescent="0.3">
      <c r="E687"/>
    </row>
    <row r="688" spans="5:5" x14ac:dyDescent="0.3">
      <c r="E688"/>
    </row>
    <row r="689" spans="5:5" x14ac:dyDescent="0.3">
      <c r="E689"/>
    </row>
    <row r="690" spans="5:5" x14ac:dyDescent="0.3">
      <c r="E690"/>
    </row>
    <row r="691" spans="5:5" x14ac:dyDescent="0.3">
      <c r="E691"/>
    </row>
    <row r="692" spans="5:5" x14ac:dyDescent="0.3">
      <c r="E692"/>
    </row>
    <row r="693" spans="5:5" x14ac:dyDescent="0.3">
      <c r="E693"/>
    </row>
    <row r="694" spans="5:5" x14ac:dyDescent="0.3">
      <c r="E694"/>
    </row>
    <row r="695" spans="5:5" x14ac:dyDescent="0.3">
      <c r="E695"/>
    </row>
    <row r="696" spans="5:5" x14ac:dyDescent="0.3">
      <c r="E696"/>
    </row>
    <row r="697" spans="5:5" x14ac:dyDescent="0.3">
      <c r="E697"/>
    </row>
    <row r="698" spans="5:5" x14ac:dyDescent="0.3">
      <c r="E698"/>
    </row>
    <row r="699" spans="5:5" x14ac:dyDescent="0.3">
      <c r="E699"/>
    </row>
    <row r="700" spans="5:5" x14ac:dyDescent="0.3">
      <c r="E700"/>
    </row>
    <row r="701" spans="5:5" x14ac:dyDescent="0.3">
      <c r="E701"/>
    </row>
    <row r="702" spans="5:5" x14ac:dyDescent="0.3">
      <c r="E702"/>
    </row>
    <row r="703" spans="5:5" x14ac:dyDescent="0.3">
      <c r="E703"/>
    </row>
    <row r="704" spans="5:5" x14ac:dyDescent="0.3">
      <c r="E704"/>
    </row>
    <row r="705" spans="5:5" x14ac:dyDescent="0.3">
      <c r="E705"/>
    </row>
    <row r="706" spans="5:5" x14ac:dyDescent="0.3">
      <c r="E706"/>
    </row>
    <row r="707" spans="5:5" x14ac:dyDescent="0.3">
      <c r="E707"/>
    </row>
    <row r="708" spans="5:5" x14ac:dyDescent="0.3">
      <c r="E708"/>
    </row>
    <row r="709" spans="5:5" x14ac:dyDescent="0.3">
      <c r="E709"/>
    </row>
    <row r="710" spans="5:5" x14ac:dyDescent="0.3">
      <c r="E710"/>
    </row>
    <row r="711" spans="5:5" x14ac:dyDescent="0.3">
      <c r="E711"/>
    </row>
    <row r="712" spans="5:5" x14ac:dyDescent="0.3">
      <c r="E712"/>
    </row>
    <row r="713" spans="5:5" x14ac:dyDescent="0.3">
      <c r="E713"/>
    </row>
    <row r="714" spans="5:5" x14ac:dyDescent="0.3">
      <c r="E714"/>
    </row>
    <row r="715" spans="5:5" x14ac:dyDescent="0.3">
      <c r="E715"/>
    </row>
    <row r="716" spans="5:5" x14ac:dyDescent="0.3">
      <c r="E716"/>
    </row>
    <row r="717" spans="5:5" x14ac:dyDescent="0.3">
      <c r="E717"/>
    </row>
    <row r="718" spans="5:5" x14ac:dyDescent="0.3">
      <c r="E718"/>
    </row>
    <row r="719" spans="5:5" x14ac:dyDescent="0.3">
      <c r="E719"/>
    </row>
    <row r="720" spans="5:5" x14ac:dyDescent="0.3">
      <c r="E720"/>
    </row>
    <row r="721" spans="5:5" x14ac:dyDescent="0.3">
      <c r="E721"/>
    </row>
    <row r="722" spans="5:5" x14ac:dyDescent="0.3">
      <c r="E722"/>
    </row>
    <row r="723" spans="5:5" x14ac:dyDescent="0.3">
      <c r="E723"/>
    </row>
    <row r="724" spans="5:5" x14ac:dyDescent="0.3">
      <c r="E724"/>
    </row>
    <row r="725" spans="5:5" x14ac:dyDescent="0.3">
      <c r="E725"/>
    </row>
    <row r="726" spans="5:5" x14ac:dyDescent="0.3">
      <c r="E726"/>
    </row>
    <row r="727" spans="5:5" x14ac:dyDescent="0.3">
      <c r="E727"/>
    </row>
    <row r="728" spans="5:5" x14ac:dyDescent="0.3">
      <c r="E728"/>
    </row>
    <row r="729" spans="5:5" x14ac:dyDescent="0.3">
      <c r="E729"/>
    </row>
    <row r="730" spans="5:5" x14ac:dyDescent="0.3">
      <c r="E730"/>
    </row>
    <row r="731" spans="5:5" x14ac:dyDescent="0.3">
      <c r="E731"/>
    </row>
    <row r="732" spans="5:5" x14ac:dyDescent="0.3">
      <c r="E732"/>
    </row>
    <row r="733" spans="5:5" x14ac:dyDescent="0.3">
      <c r="E733"/>
    </row>
    <row r="734" spans="5:5" x14ac:dyDescent="0.3">
      <c r="E734"/>
    </row>
    <row r="735" spans="5:5" x14ac:dyDescent="0.3">
      <c r="E735"/>
    </row>
    <row r="736" spans="5:5" x14ac:dyDescent="0.3">
      <c r="E736"/>
    </row>
    <row r="737" spans="5:5" x14ac:dyDescent="0.3">
      <c r="E737"/>
    </row>
    <row r="738" spans="5:5" x14ac:dyDescent="0.3">
      <c r="E738"/>
    </row>
    <row r="739" spans="5:5" x14ac:dyDescent="0.3">
      <c r="E739"/>
    </row>
    <row r="740" spans="5:5" x14ac:dyDescent="0.3">
      <c r="E740"/>
    </row>
    <row r="741" spans="5:5" x14ac:dyDescent="0.3">
      <c r="E741"/>
    </row>
    <row r="742" spans="5:5" x14ac:dyDescent="0.3">
      <c r="E742"/>
    </row>
    <row r="743" spans="5:5" x14ac:dyDescent="0.3">
      <c r="E743"/>
    </row>
    <row r="744" spans="5:5" x14ac:dyDescent="0.3">
      <c r="E744"/>
    </row>
    <row r="745" spans="5:5" x14ac:dyDescent="0.3">
      <c r="E745"/>
    </row>
    <row r="746" spans="5:5" x14ac:dyDescent="0.3">
      <c r="E746"/>
    </row>
    <row r="747" spans="5:5" x14ac:dyDescent="0.3">
      <c r="E747"/>
    </row>
    <row r="748" spans="5:5" x14ac:dyDescent="0.3">
      <c r="E748"/>
    </row>
    <row r="749" spans="5:5" x14ac:dyDescent="0.3">
      <c r="E749"/>
    </row>
    <row r="750" spans="5:5" x14ac:dyDescent="0.3">
      <c r="E750"/>
    </row>
    <row r="751" spans="5:5" x14ac:dyDescent="0.3">
      <c r="E751"/>
    </row>
    <row r="752" spans="5:5"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791" spans="5:5" x14ac:dyDescent="0.3">
      <c r="E791"/>
    </row>
    <row r="792" spans="5:5" x14ac:dyDescent="0.3">
      <c r="E792"/>
    </row>
    <row r="793" spans="5:5" x14ac:dyDescent="0.3">
      <c r="E793"/>
    </row>
    <row r="794" spans="5:5" x14ac:dyDescent="0.3">
      <c r="E794"/>
    </row>
    <row r="795" spans="5:5" x14ac:dyDescent="0.3">
      <c r="E795"/>
    </row>
    <row r="796" spans="5:5" x14ac:dyDescent="0.3">
      <c r="E796"/>
    </row>
    <row r="797" spans="5:5" x14ac:dyDescent="0.3">
      <c r="E797"/>
    </row>
    <row r="798" spans="5:5" x14ac:dyDescent="0.3">
      <c r="E798"/>
    </row>
    <row r="799" spans="5:5" x14ac:dyDescent="0.3">
      <c r="E799"/>
    </row>
    <row r="800" spans="5:5" x14ac:dyDescent="0.3">
      <c r="E800"/>
    </row>
    <row r="801" spans="5:5" x14ac:dyDescent="0.3">
      <c r="E801"/>
    </row>
    <row r="802" spans="5:5" x14ac:dyDescent="0.3">
      <c r="E802"/>
    </row>
    <row r="803" spans="5:5" x14ac:dyDescent="0.3">
      <c r="E803"/>
    </row>
    <row r="804" spans="5:5" x14ac:dyDescent="0.3">
      <c r="E804"/>
    </row>
    <row r="805" spans="5:5" x14ac:dyDescent="0.3">
      <c r="E805"/>
    </row>
    <row r="806" spans="5:5" x14ac:dyDescent="0.3">
      <c r="E806"/>
    </row>
    <row r="807" spans="5:5" x14ac:dyDescent="0.3">
      <c r="E807"/>
    </row>
    <row r="808" spans="5:5" x14ac:dyDescent="0.3">
      <c r="E808"/>
    </row>
    <row r="809" spans="5:5" x14ac:dyDescent="0.3">
      <c r="E809"/>
    </row>
    <row r="810" spans="5:5" x14ac:dyDescent="0.3">
      <c r="E810"/>
    </row>
    <row r="811" spans="5:5" x14ac:dyDescent="0.3">
      <c r="E811"/>
    </row>
    <row r="812" spans="5:5" x14ac:dyDescent="0.3">
      <c r="E812"/>
    </row>
    <row r="813" spans="5:5" x14ac:dyDescent="0.3">
      <c r="E813"/>
    </row>
    <row r="814" spans="5:5" x14ac:dyDescent="0.3">
      <c r="E814"/>
    </row>
    <row r="815" spans="5:5" x14ac:dyDescent="0.3">
      <c r="E815"/>
    </row>
    <row r="816" spans="5:5" x14ac:dyDescent="0.3">
      <c r="E816"/>
    </row>
    <row r="817" spans="5:5" x14ac:dyDescent="0.3">
      <c r="E817"/>
    </row>
    <row r="818" spans="5:5" x14ac:dyDescent="0.3">
      <c r="E818"/>
    </row>
    <row r="819" spans="5:5" x14ac:dyDescent="0.3">
      <c r="E819"/>
    </row>
    <row r="820" spans="5:5" x14ac:dyDescent="0.3">
      <c r="E820"/>
    </row>
    <row r="821" spans="5:5" x14ac:dyDescent="0.3">
      <c r="E821"/>
    </row>
    <row r="822" spans="5:5" x14ac:dyDescent="0.3">
      <c r="E822"/>
    </row>
    <row r="823" spans="5:5" x14ac:dyDescent="0.3">
      <c r="E823"/>
    </row>
    <row r="824" spans="5:5" x14ac:dyDescent="0.3">
      <c r="E824"/>
    </row>
    <row r="825" spans="5:5" x14ac:dyDescent="0.3">
      <c r="E825"/>
    </row>
    <row r="826" spans="5:5" x14ac:dyDescent="0.3">
      <c r="E826"/>
    </row>
    <row r="827" spans="5:5" x14ac:dyDescent="0.3">
      <c r="E827"/>
    </row>
    <row r="828" spans="5:5" x14ac:dyDescent="0.3">
      <c r="E828"/>
    </row>
    <row r="829" spans="5:5" x14ac:dyDescent="0.3">
      <c r="E829"/>
    </row>
    <row r="830" spans="5:5" x14ac:dyDescent="0.3">
      <c r="E830"/>
    </row>
    <row r="831" spans="5:5" x14ac:dyDescent="0.3">
      <c r="E831"/>
    </row>
    <row r="832" spans="5:5" x14ac:dyDescent="0.3">
      <c r="E832"/>
    </row>
    <row r="833" spans="5:5" x14ac:dyDescent="0.3">
      <c r="E833"/>
    </row>
    <row r="834" spans="5:5" x14ac:dyDescent="0.3">
      <c r="E834"/>
    </row>
    <row r="835" spans="5:5" x14ac:dyDescent="0.3">
      <c r="E835"/>
    </row>
    <row r="836" spans="5:5" x14ac:dyDescent="0.3">
      <c r="E836"/>
    </row>
    <row r="837" spans="5:5" x14ac:dyDescent="0.3">
      <c r="E837"/>
    </row>
    <row r="838" spans="5:5" x14ac:dyDescent="0.3">
      <c r="E838"/>
    </row>
    <row r="839" spans="5:5" x14ac:dyDescent="0.3">
      <c r="E839"/>
    </row>
    <row r="840" spans="5:5" x14ac:dyDescent="0.3">
      <c r="E840"/>
    </row>
    <row r="841" spans="5:5" x14ac:dyDescent="0.3">
      <c r="E841"/>
    </row>
    <row r="842" spans="5:5" x14ac:dyDescent="0.3">
      <c r="E842"/>
    </row>
    <row r="843" spans="5:5" x14ac:dyDescent="0.3">
      <c r="E843"/>
    </row>
    <row r="844" spans="5:5" x14ac:dyDescent="0.3">
      <c r="E844"/>
    </row>
    <row r="845" spans="5:5" x14ac:dyDescent="0.3">
      <c r="E845"/>
    </row>
    <row r="846" spans="5:5" x14ac:dyDescent="0.3">
      <c r="E846"/>
    </row>
    <row r="847" spans="5:5" x14ac:dyDescent="0.3">
      <c r="E847"/>
    </row>
    <row r="848" spans="5:5" x14ac:dyDescent="0.3">
      <c r="E848"/>
    </row>
    <row r="849" spans="5:5" x14ac:dyDescent="0.3">
      <c r="E849"/>
    </row>
    <row r="850" spans="5:5" x14ac:dyDescent="0.3">
      <c r="E850"/>
    </row>
    <row r="851" spans="5:5" x14ac:dyDescent="0.3">
      <c r="E851"/>
    </row>
    <row r="852" spans="5:5" x14ac:dyDescent="0.3">
      <c r="E852"/>
    </row>
    <row r="853" spans="5:5" x14ac:dyDescent="0.3">
      <c r="E853"/>
    </row>
    <row r="854" spans="5:5" x14ac:dyDescent="0.3">
      <c r="E854"/>
    </row>
    <row r="855" spans="5:5" x14ac:dyDescent="0.3">
      <c r="E855"/>
    </row>
    <row r="856" spans="5:5" x14ac:dyDescent="0.3">
      <c r="E856"/>
    </row>
    <row r="857" spans="5:5" x14ac:dyDescent="0.3">
      <c r="E857"/>
    </row>
    <row r="858" spans="5:5" x14ac:dyDescent="0.3">
      <c r="E858"/>
    </row>
    <row r="859" spans="5:5" x14ac:dyDescent="0.3">
      <c r="E859"/>
    </row>
    <row r="860" spans="5:5" x14ac:dyDescent="0.3">
      <c r="E860"/>
    </row>
    <row r="861" spans="5:5" x14ac:dyDescent="0.3">
      <c r="E861"/>
    </row>
    <row r="862" spans="5:5" x14ac:dyDescent="0.3">
      <c r="E862"/>
    </row>
    <row r="863" spans="5:5" x14ac:dyDescent="0.3">
      <c r="E863"/>
    </row>
    <row r="864" spans="5:5" x14ac:dyDescent="0.3">
      <c r="E864"/>
    </row>
    <row r="865" spans="5:5" x14ac:dyDescent="0.3">
      <c r="E865"/>
    </row>
    <row r="866" spans="5:5" x14ac:dyDescent="0.3">
      <c r="E866"/>
    </row>
    <row r="867" spans="5:5" x14ac:dyDescent="0.3">
      <c r="E867"/>
    </row>
    <row r="868" spans="5:5" x14ac:dyDescent="0.3">
      <c r="E868"/>
    </row>
    <row r="869" spans="5:5" x14ac:dyDescent="0.3">
      <c r="E869"/>
    </row>
    <row r="870" spans="5:5" x14ac:dyDescent="0.3">
      <c r="E870"/>
    </row>
    <row r="871" spans="5:5" x14ac:dyDescent="0.3">
      <c r="E871"/>
    </row>
    <row r="872" spans="5:5" x14ac:dyDescent="0.3">
      <c r="E872"/>
    </row>
    <row r="873" spans="5:5" x14ac:dyDescent="0.3">
      <c r="E873"/>
    </row>
    <row r="874" spans="5:5" x14ac:dyDescent="0.3">
      <c r="E874"/>
    </row>
    <row r="875" spans="5:5" x14ac:dyDescent="0.3">
      <c r="E875"/>
    </row>
    <row r="876" spans="5:5" x14ac:dyDescent="0.3">
      <c r="E876"/>
    </row>
    <row r="877" spans="5:5" x14ac:dyDescent="0.3">
      <c r="E877"/>
    </row>
    <row r="878" spans="5:5" x14ac:dyDescent="0.3">
      <c r="E878"/>
    </row>
    <row r="879" spans="5:5" x14ac:dyDescent="0.3">
      <c r="E879"/>
    </row>
    <row r="880" spans="5:5" x14ac:dyDescent="0.3">
      <c r="E880"/>
    </row>
    <row r="881" spans="5:5" x14ac:dyDescent="0.3">
      <c r="E881"/>
    </row>
    <row r="882" spans="5:5" x14ac:dyDescent="0.3">
      <c r="E882"/>
    </row>
    <row r="883" spans="5:5" x14ac:dyDescent="0.3">
      <c r="E883"/>
    </row>
    <row r="884" spans="5:5" x14ac:dyDescent="0.3">
      <c r="E884"/>
    </row>
    <row r="885" spans="5:5" x14ac:dyDescent="0.3">
      <c r="E885"/>
    </row>
    <row r="886" spans="5:5" x14ac:dyDescent="0.3">
      <c r="E886"/>
    </row>
    <row r="887" spans="5:5" x14ac:dyDescent="0.3">
      <c r="E887"/>
    </row>
    <row r="888" spans="5:5" x14ac:dyDescent="0.3">
      <c r="E888"/>
    </row>
    <row r="889" spans="5:5" x14ac:dyDescent="0.3">
      <c r="E889"/>
    </row>
    <row r="890" spans="5:5" x14ac:dyDescent="0.3">
      <c r="E890"/>
    </row>
    <row r="891" spans="5:5" x14ac:dyDescent="0.3">
      <c r="E891"/>
    </row>
    <row r="892" spans="5:5" x14ac:dyDescent="0.3">
      <c r="E892"/>
    </row>
    <row r="893" spans="5:5" x14ac:dyDescent="0.3">
      <c r="E893"/>
    </row>
    <row r="894" spans="5:5" x14ac:dyDescent="0.3">
      <c r="E894"/>
    </row>
    <row r="895" spans="5:5" x14ac:dyDescent="0.3">
      <c r="E895"/>
    </row>
    <row r="896" spans="5:5" x14ac:dyDescent="0.3">
      <c r="E896"/>
    </row>
    <row r="897" spans="5:5" x14ac:dyDescent="0.3">
      <c r="E897"/>
    </row>
    <row r="898" spans="5:5" x14ac:dyDescent="0.3">
      <c r="E898"/>
    </row>
    <row r="899" spans="5:5" x14ac:dyDescent="0.3">
      <c r="E899"/>
    </row>
    <row r="900" spans="5:5" x14ac:dyDescent="0.3">
      <c r="E900"/>
    </row>
    <row r="901" spans="5:5" x14ac:dyDescent="0.3">
      <c r="E901"/>
    </row>
    <row r="902" spans="5:5" x14ac:dyDescent="0.3">
      <c r="E902"/>
    </row>
    <row r="903" spans="5:5" x14ac:dyDescent="0.3">
      <c r="E903"/>
    </row>
    <row r="904" spans="5:5" x14ac:dyDescent="0.3">
      <c r="E904"/>
    </row>
    <row r="905" spans="5:5" x14ac:dyDescent="0.3">
      <c r="E905"/>
    </row>
    <row r="906" spans="5:5" x14ac:dyDescent="0.3">
      <c r="E906"/>
    </row>
    <row r="907" spans="5:5" x14ac:dyDescent="0.3">
      <c r="E907"/>
    </row>
    <row r="908" spans="5:5" x14ac:dyDescent="0.3">
      <c r="E908"/>
    </row>
    <row r="909" spans="5:5" x14ac:dyDescent="0.3">
      <c r="E909"/>
    </row>
    <row r="910" spans="5:5" x14ac:dyDescent="0.3">
      <c r="E910"/>
    </row>
    <row r="911" spans="5:5" x14ac:dyDescent="0.3">
      <c r="E911"/>
    </row>
    <row r="912" spans="5:5" x14ac:dyDescent="0.3">
      <c r="E912"/>
    </row>
    <row r="913" spans="5:5" x14ac:dyDescent="0.3">
      <c r="E913"/>
    </row>
    <row r="914" spans="5:5" x14ac:dyDescent="0.3">
      <c r="E914"/>
    </row>
    <row r="915" spans="5:5" x14ac:dyDescent="0.3">
      <c r="E915"/>
    </row>
    <row r="916" spans="5:5" x14ac:dyDescent="0.3">
      <c r="E916"/>
    </row>
    <row r="917" spans="5:5" x14ac:dyDescent="0.3">
      <c r="E917"/>
    </row>
    <row r="918" spans="5:5" x14ac:dyDescent="0.3">
      <c r="E918"/>
    </row>
    <row r="919" spans="5:5" x14ac:dyDescent="0.3">
      <c r="E919"/>
    </row>
    <row r="920" spans="5:5" x14ac:dyDescent="0.3">
      <c r="E920"/>
    </row>
    <row r="921" spans="5:5" x14ac:dyDescent="0.3">
      <c r="E921"/>
    </row>
    <row r="922" spans="5:5" x14ac:dyDescent="0.3">
      <c r="E922"/>
    </row>
    <row r="923" spans="5:5" x14ac:dyDescent="0.3">
      <c r="E923"/>
    </row>
    <row r="924" spans="5:5" x14ac:dyDescent="0.3">
      <c r="E924"/>
    </row>
    <row r="925" spans="5:5" x14ac:dyDescent="0.3">
      <c r="E925"/>
    </row>
    <row r="926" spans="5:5" x14ac:dyDescent="0.3">
      <c r="E926"/>
    </row>
    <row r="927" spans="5:5" x14ac:dyDescent="0.3">
      <c r="E927"/>
    </row>
    <row r="928" spans="5:5" x14ac:dyDescent="0.3">
      <c r="E928"/>
    </row>
    <row r="929" spans="5:5" x14ac:dyDescent="0.3">
      <c r="E929"/>
    </row>
    <row r="930" spans="5:5" x14ac:dyDescent="0.3">
      <c r="E930"/>
    </row>
    <row r="931" spans="5:5" x14ac:dyDescent="0.3">
      <c r="E931"/>
    </row>
    <row r="932" spans="5:5" x14ac:dyDescent="0.3">
      <c r="E932"/>
    </row>
    <row r="933" spans="5:5" x14ac:dyDescent="0.3">
      <c r="E933"/>
    </row>
    <row r="934" spans="5:5" x14ac:dyDescent="0.3">
      <c r="E934"/>
    </row>
    <row r="935" spans="5:5" x14ac:dyDescent="0.3">
      <c r="E935"/>
    </row>
    <row r="936" spans="5:5" x14ac:dyDescent="0.3">
      <c r="E936"/>
    </row>
    <row r="937" spans="5:5" x14ac:dyDescent="0.3">
      <c r="E937"/>
    </row>
    <row r="938" spans="5:5" x14ac:dyDescent="0.3">
      <c r="E938"/>
    </row>
    <row r="939" spans="5:5" x14ac:dyDescent="0.3">
      <c r="E939"/>
    </row>
    <row r="940" spans="5:5" x14ac:dyDescent="0.3">
      <c r="E940"/>
    </row>
    <row r="941" spans="5:5" x14ac:dyDescent="0.3">
      <c r="E941"/>
    </row>
    <row r="942" spans="5:5" x14ac:dyDescent="0.3">
      <c r="E942"/>
    </row>
    <row r="943" spans="5:5" x14ac:dyDescent="0.3">
      <c r="E943"/>
    </row>
    <row r="944" spans="5:5" x14ac:dyDescent="0.3">
      <c r="E944"/>
    </row>
    <row r="945" spans="5:5" x14ac:dyDescent="0.3">
      <c r="E945"/>
    </row>
    <row r="946" spans="5:5" x14ac:dyDescent="0.3">
      <c r="E946"/>
    </row>
    <row r="947" spans="5:5" x14ac:dyDescent="0.3">
      <c r="E947"/>
    </row>
    <row r="948" spans="5:5" x14ac:dyDescent="0.3">
      <c r="E948"/>
    </row>
    <row r="949" spans="5:5" x14ac:dyDescent="0.3">
      <c r="E949"/>
    </row>
    <row r="950" spans="5:5" x14ac:dyDescent="0.3">
      <c r="E950"/>
    </row>
    <row r="951" spans="5:5" x14ac:dyDescent="0.3">
      <c r="E951"/>
    </row>
    <row r="952" spans="5:5" x14ac:dyDescent="0.3">
      <c r="E952"/>
    </row>
    <row r="953" spans="5:5" x14ac:dyDescent="0.3">
      <c r="E953"/>
    </row>
    <row r="954" spans="5:5" x14ac:dyDescent="0.3">
      <c r="E954"/>
    </row>
    <row r="955" spans="5:5" x14ac:dyDescent="0.3">
      <c r="E955"/>
    </row>
    <row r="956" spans="5:5" x14ac:dyDescent="0.3">
      <c r="E956"/>
    </row>
    <row r="957" spans="5:5" x14ac:dyDescent="0.3">
      <c r="E957"/>
    </row>
    <row r="958" spans="5:5" x14ac:dyDescent="0.3">
      <c r="E958"/>
    </row>
    <row r="959" spans="5:5" x14ac:dyDescent="0.3">
      <c r="E959"/>
    </row>
    <row r="960" spans="5:5" x14ac:dyDescent="0.3">
      <c r="E960"/>
    </row>
    <row r="961" spans="5:5" x14ac:dyDescent="0.3">
      <c r="E961"/>
    </row>
    <row r="962" spans="5:5" x14ac:dyDescent="0.3">
      <c r="E962"/>
    </row>
    <row r="963" spans="5:5" x14ac:dyDescent="0.3">
      <c r="E963"/>
    </row>
    <row r="964" spans="5:5" x14ac:dyDescent="0.3">
      <c r="E964"/>
    </row>
    <row r="965" spans="5:5" x14ac:dyDescent="0.3">
      <c r="E965"/>
    </row>
    <row r="966" spans="5:5" x14ac:dyDescent="0.3">
      <c r="E966"/>
    </row>
    <row r="967" spans="5:5" x14ac:dyDescent="0.3">
      <c r="E967"/>
    </row>
    <row r="968" spans="5:5" x14ac:dyDescent="0.3">
      <c r="E968"/>
    </row>
    <row r="969" spans="5:5" x14ac:dyDescent="0.3">
      <c r="E969"/>
    </row>
    <row r="970" spans="5:5" x14ac:dyDescent="0.3">
      <c r="E970"/>
    </row>
    <row r="971" spans="5:5" x14ac:dyDescent="0.3">
      <c r="E971"/>
    </row>
    <row r="972" spans="5:5" x14ac:dyDescent="0.3">
      <c r="E972"/>
    </row>
    <row r="973" spans="5:5" x14ac:dyDescent="0.3">
      <c r="E973"/>
    </row>
    <row r="974" spans="5:5" x14ac:dyDescent="0.3">
      <c r="E974"/>
    </row>
    <row r="975" spans="5:5" x14ac:dyDescent="0.3">
      <c r="E975"/>
    </row>
    <row r="976" spans="5:5" x14ac:dyDescent="0.3">
      <c r="E976"/>
    </row>
    <row r="977" spans="5:5" x14ac:dyDescent="0.3">
      <c r="E977"/>
    </row>
    <row r="978" spans="5:5" x14ac:dyDescent="0.3">
      <c r="E978"/>
    </row>
    <row r="979" spans="5:5" x14ac:dyDescent="0.3">
      <c r="E979"/>
    </row>
    <row r="980" spans="5:5" x14ac:dyDescent="0.3">
      <c r="E980"/>
    </row>
    <row r="981" spans="5:5" x14ac:dyDescent="0.3">
      <c r="E981"/>
    </row>
    <row r="982" spans="5:5" x14ac:dyDescent="0.3">
      <c r="E982"/>
    </row>
    <row r="983" spans="5:5" x14ac:dyDescent="0.3">
      <c r="E983"/>
    </row>
    <row r="984" spans="5:5" x14ac:dyDescent="0.3">
      <c r="E984"/>
    </row>
    <row r="985" spans="5:5" x14ac:dyDescent="0.3">
      <c r="E985"/>
    </row>
    <row r="986" spans="5:5" x14ac:dyDescent="0.3">
      <c r="E986"/>
    </row>
    <row r="987" spans="5:5" x14ac:dyDescent="0.3">
      <c r="E987"/>
    </row>
    <row r="988" spans="5:5" x14ac:dyDescent="0.3">
      <c r="E988"/>
    </row>
    <row r="989" spans="5:5" x14ac:dyDescent="0.3">
      <c r="E989"/>
    </row>
    <row r="990" spans="5:5" x14ac:dyDescent="0.3">
      <c r="E990"/>
    </row>
    <row r="991" spans="5:5" x14ac:dyDescent="0.3">
      <c r="E991"/>
    </row>
    <row r="992" spans="5:5" x14ac:dyDescent="0.3">
      <c r="E992"/>
    </row>
    <row r="993" spans="5:5" x14ac:dyDescent="0.3">
      <c r="E993"/>
    </row>
    <row r="994" spans="5:5" x14ac:dyDescent="0.3">
      <c r="E994"/>
    </row>
    <row r="995" spans="5:5" x14ac:dyDescent="0.3">
      <c r="E995"/>
    </row>
    <row r="996" spans="5:5" x14ac:dyDescent="0.3">
      <c r="E996"/>
    </row>
    <row r="997" spans="5:5" x14ac:dyDescent="0.3">
      <c r="E997"/>
    </row>
    <row r="998" spans="5:5" x14ac:dyDescent="0.3">
      <c r="E998"/>
    </row>
    <row r="999" spans="5:5" x14ac:dyDescent="0.3">
      <c r="E999"/>
    </row>
    <row r="1000" spans="5:5" x14ac:dyDescent="0.3">
      <c r="E1000"/>
    </row>
    <row r="1001" spans="5:5" x14ac:dyDescent="0.3">
      <c r="E1001"/>
    </row>
    <row r="1002" spans="5:5" x14ac:dyDescent="0.3">
      <c r="E1002"/>
    </row>
    <row r="1003" spans="5:5" x14ac:dyDescent="0.3">
      <c r="E1003"/>
    </row>
    <row r="1004" spans="5:5" x14ac:dyDescent="0.3">
      <c r="E1004"/>
    </row>
    <row r="1005" spans="5:5" x14ac:dyDescent="0.3">
      <c r="E1005"/>
    </row>
    <row r="1006" spans="5:5" x14ac:dyDescent="0.3">
      <c r="E1006"/>
    </row>
    <row r="1007" spans="5:5" x14ac:dyDescent="0.3">
      <c r="E1007"/>
    </row>
    <row r="1008" spans="5:5" x14ac:dyDescent="0.3">
      <c r="E1008"/>
    </row>
    <row r="1009" spans="5:5" x14ac:dyDescent="0.3">
      <c r="E1009"/>
    </row>
    <row r="1010" spans="5:5" x14ac:dyDescent="0.3">
      <c r="E1010"/>
    </row>
    <row r="1011" spans="5:5" x14ac:dyDescent="0.3">
      <c r="E1011"/>
    </row>
    <row r="1012" spans="5:5" x14ac:dyDescent="0.3">
      <c r="E1012"/>
    </row>
    <row r="1013" spans="5:5" x14ac:dyDescent="0.3">
      <c r="E1013"/>
    </row>
    <row r="1014" spans="5:5" x14ac:dyDescent="0.3">
      <c r="E1014"/>
    </row>
    <row r="1015" spans="5:5" x14ac:dyDescent="0.3">
      <c r="E1015"/>
    </row>
    <row r="1016" spans="5:5" x14ac:dyDescent="0.3">
      <c r="E1016"/>
    </row>
    <row r="1017" spans="5:5" x14ac:dyDescent="0.3">
      <c r="E1017"/>
    </row>
    <row r="1018" spans="5:5" x14ac:dyDescent="0.3">
      <c r="E1018"/>
    </row>
    <row r="1019" spans="5:5" x14ac:dyDescent="0.3">
      <c r="E1019"/>
    </row>
    <row r="1020" spans="5:5" x14ac:dyDescent="0.3">
      <c r="E1020"/>
    </row>
    <row r="1021" spans="5:5" x14ac:dyDescent="0.3">
      <c r="E1021"/>
    </row>
    <row r="1022" spans="5:5" x14ac:dyDescent="0.3">
      <c r="E1022"/>
    </row>
    <row r="1023" spans="5:5" x14ac:dyDescent="0.3">
      <c r="E1023"/>
    </row>
    <row r="1024" spans="5:5" x14ac:dyDescent="0.3">
      <c r="E1024"/>
    </row>
    <row r="1025" spans="5:5" x14ac:dyDescent="0.3">
      <c r="E1025"/>
    </row>
    <row r="1026" spans="5:5" x14ac:dyDescent="0.3">
      <c r="E1026"/>
    </row>
    <row r="1027" spans="5:5" x14ac:dyDescent="0.3">
      <c r="E1027"/>
    </row>
    <row r="1028" spans="5:5" x14ac:dyDescent="0.3">
      <c r="E1028"/>
    </row>
    <row r="1029" spans="5:5" x14ac:dyDescent="0.3">
      <c r="E1029"/>
    </row>
    <row r="1030" spans="5:5" x14ac:dyDescent="0.3">
      <c r="E1030"/>
    </row>
    <row r="1031" spans="5:5" x14ac:dyDescent="0.3">
      <c r="E1031"/>
    </row>
    <row r="1032" spans="5:5" x14ac:dyDescent="0.3">
      <c r="E1032"/>
    </row>
    <row r="1033" spans="5:5" x14ac:dyDescent="0.3">
      <c r="E1033"/>
    </row>
    <row r="1034" spans="5:5" x14ac:dyDescent="0.3">
      <c r="E1034"/>
    </row>
    <row r="1035" spans="5:5" x14ac:dyDescent="0.3">
      <c r="E1035"/>
    </row>
    <row r="1036" spans="5:5" x14ac:dyDescent="0.3">
      <c r="E1036"/>
    </row>
    <row r="1037" spans="5:5" x14ac:dyDescent="0.3">
      <c r="E1037"/>
    </row>
    <row r="1038" spans="5:5" x14ac:dyDescent="0.3">
      <c r="E1038"/>
    </row>
    <row r="1039" spans="5:5" x14ac:dyDescent="0.3">
      <c r="E1039"/>
    </row>
    <row r="1040" spans="5:5" x14ac:dyDescent="0.3">
      <c r="E1040"/>
    </row>
    <row r="1041" spans="5:5" x14ac:dyDescent="0.3">
      <c r="E1041"/>
    </row>
    <row r="1042" spans="5:5" x14ac:dyDescent="0.3">
      <c r="E1042"/>
    </row>
    <row r="1043" spans="5:5" x14ac:dyDescent="0.3">
      <c r="E1043"/>
    </row>
    <row r="1044" spans="5:5" x14ac:dyDescent="0.3">
      <c r="E1044"/>
    </row>
    <row r="1045" spans="5:5" x14ac:dyDescent="0.3">
      <c r="E1045"/>
    </row>
    <row r="1046" spans="5:5" x14ac:dyDescent="0.3">
      <c r="E1046"/>
    </row>
    <row r="1047" spans="5:5" x14ac:dyDescent="0.3">
      <c r="E1047"/>
    </row>
    <row r="1048" spans="5:5" x14ac:dyDescent="0.3">
      <c r="E1048"/>
    </row>
    <row r="1049" spans="5:5" x14ac:dyDescent="0.3">
      <c r="E1049"/>
    </row>
    <row r="1050" spans="5:5" x14ac:dyDescent="0.3">
      <c r="E1050"/>
    </row>
    <row r="1051" spans="5:5" x14ac:dyDescent="0.3">
      <c r="E1051"/>
    </row>
    <row r="1052" spans="5:5" x14ac:dyDescent="0.3">
      <c r="E1052"/>
    </row>
    <row r="1053" spans="5:5" x14ac:dyDescent="0.3">
      <c r="E1053"/>
    </row>
    <row r="1054" spans="5:5" x14ac:dyDescent="0.3">
      <c r="E1054"/>
    </row>
    <row r="1055" spans="5:5" x14ac:dyDescent="0.3">
      <c r="E1055"/>
    </row>
    <row r="1056" spans="5:5" x14ac:dyDescent="0.3">
      <c r="E1056"/>
    </row>
    <row r="1057" spans="5:5" x14ac:dyDescent="0.3">
      <c r="E1057"/>
    </row>
    <row r="1058" spans="5:5" x14ac:dyDescent="0.3">
      <c r="E1058"/>
    </row>
    <row r="1059" spans="5:5" x14ac:dyDescent="0.3">
      <c r="E1059"/>
    </row>
    <row r="1060" spans="5:5" x14ac:dyDescent="0.3">
      <c r="E1060"/>
    </row>
    <row r="1061" spans="5:5" x14ac:dyDescent="0.3">
      <c r="E1061"/>
    </row>
    <row r="1062" spans="5:5" x14ac:dyDescent="0.3">
      <c r="E1062"/>
    </row>
    <row r="1063" spans="5:5" x14ac:dyDescent="0.3">
      <c r="E1063"/>
    </row>
    <row r="1064" spans="5:5" x14ac:dyDescent="0.3">
      <c r="E1064"/>
    </row>
    <row r="1065" spans="5:5" x14ac:dyDescent="0.3">
      <c r="E1065"/>
    </row>
    <row r="1066" spans="5:5" x14ac:dyDescent="0.3">
      <c r="E1066"/>
    </row>
    <row r="1067" spans="5:5" x14ac:dyDescent="0.3">
      <c r="E1067"/>
    </row>
    <row r="1068" spans="5:5" x14ac:dyDescent="0.3">
      <c r="E1068"/>
    </row>
    <row r="1069" spans="5:5" x14ac:dyDescent="0.3">
      <c r="E1069"/>
    </row>
    <row r="1070" spans="5:5" x14ac:dyDescent="0.3">
      <c r="E1070"/>
    </row>
    <row r="1071" spans="5:5" x14ac:dyDescent="0.3">
      <c r="E1071"/>
    </row>
    <row r="1072" spans="5:5" x14ac:dyDescent="0.3">
      <c r="E1072"/>
    </row>
    <row r="1073" spans="5:5" x14ac:dyDescent="0.3">
      <c r="E1073"/>
    </row>
    <row r="1074" spans="5:5" x14ac:dyDescent="0.3">
      <c r="E1074"/>
    </row>
    <row r="1075" spans="5:5" x14ac:dyDescent="0.3">
      <c r="E1075"/>
    </row>
    <row r="1076" spans="5:5" x14ac:dyDescent="0.3">
      <c r="E1076"/>
    </row>
    <row r="1077" spans="5:5" x14ac:dyDescent="0.3">
      <c r="E1077"/>
    </row>
    <row r="1078" spans="5:5" x14ac:dyDescent="0.3">
      <c r="E1078"/>
    </row>
    <row r="1079" spans="5:5" x14ac:dyDescent="0.3">
      <c r="E1079"/>
    </row>
    <row r="1080" spans="5:5" x14ac:dyDescent="0.3">
      <c r="E1080"/>
    </row>
    <row r="1081" spans="5:5" x14ac:dyDescent="0.3">
      <c r="E1081"/>
    </row>
    <row r="1082" spans="5:5" x14ac:dyDescent="0.3">
      <c r="E1082"/>
    </row>
    <row r="1083" spans="5:5" x14ac:dyDescent="0.3">
      <c r="E1083"/>
    </row>
    <row r="1084" spans="5:5" x14ac:dyDescent="0.3">
      <c r="E1084"/>
    </row>
    <row r="1085" spans="5:5" x14ac:dyDescent="0.3">
      <c r="E1085"/>
    </row>
    <row r="1086" spans="5:5" x14ac:dyDescent="0.3">
      <c r="E1086"/>
    </row>
    <row r="1087" spans="5:5" x14ac:dyDescent="0.3">
      <c r="E1087"/>
    </row>
    <row r="1088" spans="5:5" x14ac:dyDescent="0.3">
      <c r="E1088"/>
    </row>
    <row r="1089" spans="5:5" x14ac:dyDescent="0.3">
      <c r="E1089"/>
    </row>
    <row r="1090" spans="5:5" x14ac:dyDescent="0.3">
      <c r="E1090"/>
    </row>
    <row r="1091" spans="5:5" x14ac:dyDescent="0.3">
      <c r="E1091"/>
    </row>
    <row r="1092" spans="5:5" x14ac:dyDescent="0.3">
      <c r="E1092"/>
    </row>
    <row r="1093" spans="5:5" x14ac:dyDescent="0.3">
      <c r="E1093"/>
    </row>
    <row r="1094" spans="5:5" x14ac:dyDescent="0.3">
      <c r="E1094"/>
    </row>
    <row r="1095" spans="5:5" x14ac:dyDescent="0.3">
      <c r="E1095"/>
    </row>
    <row r="1096" spans="5:5" x14ac:dyDescent="0.3">
      <c r="E1096"/>
    </row>
    <row r="1097" spans="5:5" x14ac:dyDescent="0.3">
      <c r="E1097"/>
    </row>
    <row r="1098" spans="5:5" x14ac:dyDescent="0.3">
      <c r="E1098"/>
    </row>
    <row r="1099" spans="5:5" x14ac:dyDescent="0.3">
      <c r="E1099"/>
    </row>
    <row r="1100" spans="5:5" x14ac:dyDescent="0.3">
      <c r="E1100"/>
    </row>
    <row r="1101" spans="5:5" x14ac:dyDescent="0.3">
      <c r="E1101"/>
    </row>
    <row r="1102" spans="5:5" x14ac:dyDescent="0.3">
      <c r="E1102"/>
    </row>
    <row r="1103" spans="5:5" x14ac:dyDescent="0.3">
      <c r="E1103"/>
    </row>
    <row r="1104" spans="5:5" x14ac:dyDescent="0.3">
      <c r="E1104"/>
    </row>
    <row r="1105" spans="5:5" x14ac:dyDescent="0.3">
      <c r="E1105"/>
    </row>
    <row r="1106" spans="5:5" x14ac:dyDescent="0.3">
      <c r="E1106"/>
    </row>
    <row r="1107" spans="5:5" x14ac:dyDescent="0.3">
      <c r="E1107"/>
    </row>
    <row r="1108" spans="5:5" x14ac:dyDescent="0.3">
      <c r="E1108"/>
    </row>
    <row r="1109" spans="5:5" x14ac:dyDescent="0.3">
      <c r="E1109"/>
    </row>
    <row r="1110" spans="5:5" x14ac:dyDescent="0.3">
      <c r="E1110"/>
    </row>
    <row r="1111" spans="5:5" x14ac:dyDescent="0.3">
      <c r="E1111"/>
    </row>
    <row r="1112" spans="5:5" x14ac:dyDescent="0.3">
      <c r="E1112"/>
    </row>
    <row r="1113" spans="5:5" x14ac:dyDescent="0.3">
      <c r="E1113"/>
    </row>
    <row r="1114" spans="5:5" x14ac:dyDescent="0.3">
      <c r="E1114"/>
    </row>
  </sheetData>
  <sheetProtection algorithmName="SHA-512" hashValue="7ARqypX5pVSRidt+lpE4GDN1OQU/50YuPIfFQXERMAvx2UCw2gO5LHsXDaN1++1a+zyCeqx+w8fYrepewK7Ndg==" saltValue="pZ/Dit2onGu9ri5FTj9cKw==" spinCount="100000" sheet="1" selectLockedCells="1" selectUnlockedCells="1"/>
  <phoneticPr fontId="23" type="noConversion"/>
  <pageMargins left="0.7" right="0.7" top="0.75" bottom="0.75" header="0.3" footer="0.3"/>
  <drawing r:id="rId1"/>
  <legacyDrawing r:id="rId2"/>
  <tableParts count="7">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1C44-7C3D-48EA-8F28-846751A2820D}">
  <dimension ref="B1:M35"/>
  <sheetViews>
    <sheetView topLeftCell="A22" workbookViewId="0">
      <selection activeCell="B25" sqref="B25"/>
    </sheetView>
  </sheetViews>
  <sheetFormatPr defaultRowHeight="14.4" x14ac:dyDescent="0.3"/>
  <cols>
    <col min="2" max="2" width="16.88671875" bestFit="1" customWidth="1"/>
    <col min="3" max="4" width="10.21875" customWidth="1"/>
    <col min="5" max="5" width="16.88671875" customWidth="1"/>
    <col min="6" max="6" width="19" bestFit="1" customWidth="1"/>
    <col min="7" max="7" width="12.33203125" customWidth="1"/>
    <col min="8" max="8" width="19" customWidth="1"/>
    <col min="9" max="9" width="18.44140625" bestFit="1" customWidth="1"/>
    <col min="12" max="12" width="21.21875" customWidth="1"/>
  </cols>
  <sheetData>
    <row r="1" spans="2:12" x14ac:dyDescent="0.3">
      <c r="I1" t="str">
        <f>_xlfn.XLOOKUP(Rotation,I4:I10,J4:J10,"")</f>
        <v/>
      </c>
    </row>
    <row r="3" spans="2:12" x14ac:dyDescent="0.3">
      <c r="B3" s="93" t="s">
        <v>4050</v>
      </c>
      <c r="C3" s="93" t="s">
        <v>4051</v>
      </c>
      <c r="D3" s="93" t="s">
        <v>4037</v>
      </c>
      <c r="F3" s="93" t="s">
        <v>4052</v>
      </c>
      <c r="G3" s="93" t="s">
        <v>4053</v>
      </c>
      <c r="I3" s="93" t="s">
        <v>4054</v>
      </c>
      <c r="J3" t="s">
        <v>4055</v>
      </c>
      <c r="L3" t="s">
        <v>4115</v>
      </c>
    </row>
    <row r="4" spans="2:12" x14ac:dyDescent="0.3">
      <c r="B4" t="s">
        <v>4114</v>
      </c>
      <c r="C4">
        <v>1</v>
      </c>
      <c r="D4">
        <v>1</v>
      </c>
      <c r="F4" t="s">
        <v>4056</v>
      </c>
      <c r="G4">
        <v>0</v>
      </c>
      <c r="I4" t="s">
        <v>4046</v>
      </c>
      <c r="J4">
        <v>1</v>
      </c>
      <c r="L4" t="s">
        <v>4116</v>
      </c>
    </row>
    <row r="5" spans="2:12" x14ac:dyDescent="0.3">
      <c r="B5" t="s">
        <v>4111</v>
      </c>
      <c r="C5">
        <v>1</v>
      </c>
      <c r="D5">
        <v>1</v>
      </c>
      <c r="F5" t="s">
        <v>4039</v>
      </c>
      <c r="G5">
        <v>1</v>
      </c>
      <c r="I5" t="s">
        <v>3</v>
      </c>
      <c r="J5">
        <v>2</v>
      </c>
      <c r="L5" t="s">
        <v>4117</v>
      </c>
    </row>
    <row r="6" spans="2:12" x14ac:dyDescent="0.3">
      <c r="B6" t="s">
        <v>8</v>
      </c>
      <c r="C6">
        <v>1</v>
      </c>
      <c r="D6">
        <v>0</v>
      </c>
      <c r="F6" t="s">
        <v>4057</v>
      </c>
      <c r="G6">
        <v>2</v>
      </c>
      <c r="I6" t="s">
        <v>4058</v>
      </c>
      <c r="J6">
        <v>3</v>
      </c>
      <c r="L6" t="s">
        <v>4118</v>
      </c>
    </row>
    <row r="7" spans="2:12" x14ac:dyDescent="0.3">
      <c r="B7" t="s">
        <v>22</v>
      </c>
      <c r="C7">
        <f>IF(AND('START HERE'!C22="Yes",'START HERE'!C23&gt;=1),1,0)</f>
        <v>0</v>
      </c>
      <c r="D7">
        <v>1</v>
      </c>
      <c r="F7" t="s">
        <v>4059</v>
      </c>
      <c r="G7">
        <v>2</v>
      </c>
      <c r="I7" t="s">
        <v>4060</v>
      </c>
      <c r="J7">
        <v>4</v>
      </c>
      <c r="L7" t="s">
        <v>4119</v>
      </c>
    </row>
    <row r="8" spans="2:12" x14ac:dyDescent="0.3">
      <c r="B8" t="s">
        <v>23</v>
      </c>
      <c r="C8">
        <f>IF(AND('START HERE'!C22="Yes",'START HERE'!C23&gt;=2),1,0)</f>
        <v>0</v>
      </c>
      <c r="D8">
        <v>1</v>
      </c>
      <c r="F8" t="s">
        <v>4061</v>
      </c>
      <c r="G8">
        <v>0</v>
      </c>
      <c r="I8" t="s">
        <v>4062</v>
      </c>
      <c r="J8">
        <v>5</v>
      </c>
    </row>
    <row r="9" spans="2:12" x14ac:dyDescent="0.3">
      <c r="B9" t="s">
        <v>24</v>
      </c>
      <c r="C9">
        <f>IF(AND('START HERE'!C22="Yes",'START HERE'!C23&gt;=3),1,0)</f>
        <v>0</v>
      </c>
      <c r="D9">
        <v>1</v>
      </c>
      <c r="F9" t="s">
        <v>4063</v>
      </c>
      <c r="G9">
        <v>2</v>
      </c>
      <c r="I9" t="s">
        <v>4064</v>
      </c>
      <c r="J9">
        <v>6</v>
      </c>
    </row>
    <row r="10" spans="2:12" x14ac:dyDescent="0.3">
      <c r="B10" t="s">
        <v>4108</v>
      </c>
      <c r="C10">
        <f>IF(AND('START HERE'!C22="Yes",'START HERE'!C23&gt;=4),1,0)</f>
        <v>0</v>
      </c>
      <c r="D10">
        <v>1</v>
      </c>
      <c r="F10" t="s">
        <v>4065</v>
      </c>
      <c r="G10">
        <v>2</v>
      </c>
      <c r="I10" t="s">
        <v>4102</v>
      </c>
      <c r="J10">
        <v>10</v>
      </c>
    </row>
    <row r="11" spans="2:12" x14ac:dyDescent="0.3">
      <c r="B11" t="s">
        <v>4109</v>
      </c>
      <c r="C11">
        <f>IF(AND('START HERE'!C22="Yes",'START HERE'!C23&gt;=5),1,0)</f>
        <v>0</v>
      </c>
      <c r="D11">
        <v>1</v>
      </c>
      <c r="F11" t="s">
        <v>4066</v>
      </c>
      <c r="G11">
        <v>2</v>
      </c>
    </row>
    <row r="12" spans="2:12" x14ac:dyDescent="0.3">
      <c r="B12" t="s">
        <v>4110</v>
      </c>
      <c r="C12">
        <f>IF(AND('START HERE'!C22="Yes",'START HERE'!C23=6),1,0)</f>
        <v>0</v>
      </c>
      <c r="D12">
        <v>1</v>
      </c>
    </row>
    <row r="13" spans="2:12" x14ac:dyDescent="0.3">
      <c r="B13" t="s">
        <v>25</v>
      </c>
      <c r="C13">
        <f>IF(AND('START HERE'!C24="Yes",'START HERE'!C25&gt;=1),1,0)</f>
        <v>0</v>
      </c>
      <c r="D13">
        <v>1</v>
      </c>
    </row>
    <row r="14" spans="2:12" x14ac:dyDescent="0.3">
      <c r="B14" t="s">
        <v>26</v>
      </c>
      <c r="C14">
        <f>IF(AND('START HERE'!C24="Yes",'START HERE'!C25&gt;=2),1,0)</f>
        <v>0</v>
      </c>
      <c r="D14">
        <v>1</v>
      </c>
    </row>
    <row r="15" spans="2:12" x14ac:dyDescent="0.3">
      <c r="B15" t="s">
        <v>27</v>
      </c>
      <c r="C15">
        <f>IF(AND('START HERE'!C24="Yes",'START HERE'!C25=3),1,0)</f>
        <v>0</v>
      </c>
      <c r="D15">
        <v>1</v>
      </c>
    </row>
    <row r="16" spans="2:12" x14ac:dyDescent="0.3">
      <c r="B16" t="s">
        <v>4079</v>
      </c>
      <c r="C16">
        <f>IF(part_time_days="Yes",1,0)</f>
        <v>0</v>
      </c>
      <c r="D16">
        <v>1</v>
      </c>
    </row>
    <row r="23" spans="2:13" ht="15" thickBot="1" x14ac:dyDescent="0.35"/>
    <row r="24" spans="2:13" x14ac:dyDescent="0.3">
      <c r="B24" s="113"/>
      <c r="C24" s="114"/>
      <c r="D24" s="114"/>
      <c r="E24" s="114"/>
      <c r="F24" s="114"/>
      <c r="G24" s="114"/>
      <c r="H24" s="114"/>
      <c r="I24" s="114"/>
      <c r="J24" s="114"/>
      <c r="K24" s="114"/>
      <c r="L24" s="114"/>
      <c r="M24" s="115"/>
    </row>
    <row r="25" spans="2:13" x14ac:dyDescent="0.3">
      <c r="B25" s="107" t="str" cm="1">
        <f t="array" ref="B25:B27">_xlfn.UNIQUE(_xlfn._xlws.FILTER(Types_of_Day[Type of Day],Types_of_Day[Use]=1))</f>
        <v>PD/In-Service Day</v>
      </c>
      <c r="C25" s="108"/>
      <c r="D25" s="108"/>
      <c r="E25" s="108"/>
      <c r="F25" s="108" t="str" cm="1">
        <f t="array" ref="F25:F32">_xlfn.UNIQUE(Types_of_Activity[Type of Activity])</f>
        <v>Break - Unassigned</v>
      </c>
      <c r="G25" s="108"/>
      <c r="H25" s="108"/>
      <c r="I25" s="108" t="str" cm="1">
        <f t="array" ref="I25:I31">_xlfn.UNIQUE(Rotation_Types[Rotation Types])</f>
        <v>Weekday</v>
      </c>
      <c r="J25" s="108"/>
      <c r="K25" s="108"/>
      <c r="L25" s="108" t="str" cm="1">
        <f t="array" ref="L25:L28">_xlfn.UNIQUE(Exception_Assignor[Exception Assignor])</f>
        <v>Principal</v>
      </c>
      <c r="M25" s="109"/>
    </row>
    <row r="26" spans="2:13" x14ac:dyDescent="0.3">
      <c r="B26" s="107" t="str">
        <v>Planning Day</v>
      </c>
      <c r="C26" s="108"/>
      <c r="D26" s="108"/>
      <c r="E26" s="108"/>
      <c r="F26" s="108" t="str">
        <v>Instruction</v>
      </c>
      <c r="G26" s="108"/>
      <c r="H26" s="108"/>
      <c r="I26" s="108" t="str">
        <v>Two day rotation</v>
      </c>
      <c r="J26" s="108"/>
      <c r="K26" s="108"/>
      <c r="L26" s="108" t="str">
        <v>VP/AP</v>
      </c>
      <c r="M26" s="109"/>
    </row>
    <row r="27" spans="2:13" x14ac:dyDescent="0.3">
      <c r="B27" s="107" t="str">
        <v>Closed (non-operational)</v>
      </c>
      <c r="C27" s="108"/>
      <c r="D27" s="108"/>
      <c r="E27" s="108"/>
      <c r="F27" s="108" t="str">
        <v>Meeting</v>
      </c>
      <c r="G27" s="108"/>
      <c r="H27" s="108"/>
      <c r="I27" s="108" t="str">
        <v>Three day rotation</v>
      </c>
      <c r="J27" s="108"/>
      <c r="K27" s="108"/>
      <c r="L27" s="108" t="str">
        <v>Department Head</v>
      </c>
      <c r="M27" s="109"/>
    </row>
    <row r="28" spans="2:13" x14ac:dyDescent="0.3">
      <c r="B28" s="107"/>
      <c r="C28" s="108"/>
      <c r="D28" s="108"/>
      <c r="E28" s="108"/>
      <c r="F28" s="108" t="str">
        <v>Morning Prayer</v>
      </c>
      <c r="G28" s="108"/>
      <c r="H28" s="108"/>
      <c r="I28" s="108" t="str">
        <v>Four day rotation</v>
      </c>
      <c r="J28" s="108"/>
      <c r="K28" s="108"/>
      <c r="L28" s="108" t="str">
        <v>Central Office</v>
      </c>
      <c r="M28" s="109"/>
    </row>
    <row r="29" spans="2:13" x14ac:dyDescent="0.3">
      <c r="B29" s="107"/>
      <c r="C29" s="108"/>
      <c r="D29" s="108"/>
      <c r="E29" s="108"/>
      <c r="F29" s="108" t="str">
        <v>Prep - Unassigned</v>
      </c>
      <c r="G29" s="108"/>
      <c r="H29" s="108"/>
      <c r="I29" s="108" t="str">
        <v>Five day rotation</v>
      </c>
      <c r="J29" s="108"/>
      <c r="K29" s="108"/>
      <c r="L29" s="108"/>
      <c r="M29" s="109"/>
    </row>
    <row r="30" spans="2:13" x14ac:dyDescent="0.3">
      <c r="B30" s="107"/>
      <c r="C30" s="108"/>
      <c r="D30" s="108"/>
      <c r="E30" s="108"/>
      <c r="F30" s="108" t="str">
        <v>Prep - Assigned</v>
      </c>
      <c r="G30" s="108"/>
      <c r="H30" s="108"/>
      <c r="I30" s="108" t="str">
        <v>Six day rotation</v>
      </c>
      <c r="J30" s="108"/>
      <c r="K30" s="108"/>
      <c r="L30" s="108"/>
      <c r="M30" s="109"/>
    </row>
    <row r="31" spans="2:13" x14ac:dyDescent="0.3">
      <c r="B31" s="107"/>
      <c r="C31" s="108"/>
      <c r="D31" s="108"/>
      <c r="E31" s="108"/>
      <c r="F31" s="108" t="str">
        <v>Transition</v>
      </c>
      <c r="G31" s="108"/>
      <c r="H31" s="108"/>
      <c r="I31" s="108" t="str">
        <v>Ten day rotation</v>
      </c>
      <c r="J31" s="108"/>
      <c r="K31" s="108"/>
      <c r="L31" s="108"/>
      <c r="M31" s="109"/>
    </row>
    <row r="32" spans="2:13" x14ac:dyDescent="0.3">
      <c r="B32" s="107"/>
      <c r="C32" s="108"/>
      <c r="D32" s="108"/>
      <c r="E32" s="108"/>
      <c r="F32" s="108" t="str">
        <v>Supervision</v>
      </c>
      <c r="G32" s="108"/>
      <c r="H32" s="108"/>
      <c r="I32" s="108"/>
      <c r="J32" s="108"/>
      <c r="K32" s="108"/>
      <c r="L32" s="108"/>
      <c r="M32" s="109"/>
    </row>
    <row r="33" spans="2:13" x14ac:dyDescent="0.3">
      <c r="B33" s="107"/>
      <c r="C33" s="108"/>
      <c r="D33" s="108"/>
      <c r="E33" s="108"/>
      <c r="F33" s="108"/>
      <c r="G33" s="108"/>
      <c r="H33" s="108"/>
      <c r="I33" s="108"/>
      <c r="J33" s="108"/>
      <c r="K33" s="108"/>
      <c r="L33" s="108"/>
      <c r="M33" s="109"/>
    </row>
    <row r="34" spans="2:13" x14ac:dyDescent="0.3">
      <c r="B34" s="107"/>
      <c r="C34" s="108"/>
      <c r="D34" s="108"/>
      <c r="E34" s="108"/>
      <c r="F34" s="108"/>
      <c r="G34" s="108"/>
      <c r="H34" s="108"/>
      <c r="I34" s="108"/>
      <c r="J34" s="108"/>
      <c r="K34" s="108"/>
      <c r="L34" s="108"/>
      <c r="M34" s="109"/>
    </row>
    <row r="35" spans="2:13" ht="15" thickBot="1" x14ac:dyDescent="0.35">
      <c r="B35" s="110"/>
      <c r="C35" s="111"/>
      <c r="D35" s="111"/>
      <c r="E35" s="111"/>
      <c r="F35" s="111"/>
      <c r="G35" s="111"/>
      <c r="H35" s="111"/>
      <c r="I35" s="111"/>
      <c r="J35" s="111"/>
      <c r="K35" s="111"/>
      <c r="L35" s="111"/>
      <c r="M35" s="112"/>
    </row>
  </sheetData>
  <sheetProtection algorithmName="SHA-512" hashValue="GwzZCL3yPV9YtVEXzuGNx0UpljGIcCo7gQTKaaJQ9aNsPYJtPL3v6Vwlj6/utwwA/cluQIjZI3jcIe8Aa32K0w==" saltValue="DWCFWCMMpHxP6igOSzRZoQ==" spinCount="100000" sheet="1" selectLockedCells="1" selectUnlockedCells="1"/>
  <sortState xmlns:xlrd2="http://schemas.microsoft.com/office/spreadsheetml/2017/richdata2" ref="K4:K10">
    <sortCondition ref="K4:K10"/>
  </sortState>
  <phoneticPr fontId="23" type="noConversion"/>
  <pageMargins left="0.7" right="0.7" top="0.75" bottom="0.75" header="0.3" footer="0.3"/>
  <pageSetup orientation="portrait" r:id="rId1"/>
  <drawing r:id="rId2"/>
  <legacyDrawing r:id="rId3"/>
  <tableParts count="4">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defaultRowHeight="14.4" x14ac:dyDescent="0.3"/>
  <cols>
    <col min="1" max="1" width="1.6640625" customWidth="1"/>
    <col min="2" max="2" width="58.21875" customWidth="1"/>
    <col min="3" max="4" width="18.88671875" customWidth="1"/>
  </cols>
  <sheetData>
    <row r="1" ht="9" customHeight="1" x14ac:dyDescent="0.3"/>
    <row r="2" ht="102.9" customHeight="1" x14ac:dyDescent="0.3"/>
    <row r="3" ht="102.9" customHeight="1" x14ac:dyDescent="0.3"/>
    <row r="4" ht="102.9" customHeight="1" x14ac:dyDescent="0.3"/>
    <row r="5" ht="102.9" customHeight="1" x14ac:dyDescent="0.3"/>
    <row r="6" ht="102.9" customHeight="1" x14ac:dyDescent="0.3"/>
    <row r="7" ht="102.9" customHeight="1" x14ac:dyDescent="0.3"/>
    <row r="8" ht="102.9" customHeight="1" x14ac:dyDescent="0.3"/>
    <row r="9" ht="102.9" customHeight="1" x14ac:dyDescent="0.3"/>
    <row r="10" ht="102.9" customHeight="1" x14ac:dyDescent="0.3"/>
    <row r="11" ht="102.9" customHeight="1" x14ac:dyDescent="0.3"/>
    <row r="12" ht="102.9" customHeight="1" x14ac:dyDescent="0.3"/>
    <row r="13" ht="102.9" customHeight="1"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09EFC-37CE-411D-8FA2-A403B722206F}">
  <dimension ref="B2:J134"/>
  <sheetViews>
    <sheetView showGridLines="0" showRowColHeaders="0" workbookViewId="0">
      <selection activeCell="C9" sqref="C9"/>
    </sheetView>
  </sheetViews>
  <sheetFormatPr defaultRowHeight="14.4" x14ac:dyDescent="0.3"/>
  <cols>
    <col min="1" max="1" width="5.109375" customWidth="1"/>
    <col min="2" max="2" width="18.77734375" customWidth="1"/>
    <col min="3" max="10" width="13.77734375" customWidth="1"/>
  </cols>
  <sheetData>
    <row r="2" spans="2:10" x14ac:dyDescent="0.3">
      <c r="H2" s="108"/>
      <c r="I2" s="108"/>
    </row>
    <row r="3" spans="2:10" x14ac:dyDescent="0.3">
      <c r="H3" s="108"/>
      <c r="I3" s="108"/>
    </row>
    <row r="4" spans="2:10" x14ac:dyDescent="0.3">
      <c r="H4" s="108"/>
      <c r="I4" s="108"/>
    </row>
    <row r="8" spans="2:10" x14ac:dyDescent="0.3">
      <c r="B8" s="93" t="s">
        <v>31</v>
      </c>
      <c r="C8" s="102" t="str">
        <f>IF(ISBLANK(TeacherName),"",TeacherName)</f>
        <v/>
      </c>
    </row>
    <row r="9" spans="2:10" x14ac:dyDescent="0.3">
      <c r="B9" s="93" t="s">
        <v>32</v>
      </c>
      <c r="C9" s="102" t="str">
        <f>IF(ISBLANK(School),"",School)</f>
        <v/>
      </c>
    </row>
    <row r="10" spans="2:10" ht="14.4" customHeight="1" x14ac:dyDescent="0.3">
      <c r="B10" s="93"/>
      <c r="C10" s="122" t="s">
        <v>33</v>
      </c>
      <c r="D10" s="122"/>
      <c r="E10" s="122" t="s">
        <v>34</v>
      </c>
      <c r="F10" s="122"/>
      <c r="G10" s="122" t="s">
        <v>4077</v>
      </c>
      <c r="H10" s="122"/>
      <c r="I10" s="122" t="s">
        <v>4078</v>
      </c>
      <c r="J10" s="122"/>
    </row>
    <row r="11" spans="2:10" ht="28.8" x14ac:dyDescent="0.3">
      <c r="C11" s="94" t="s">
        <v>20</v>
      </c>
      <c r="D11" s="94" t="s">
        <v>4076</v>
      </c>
      <c r="E11" s="94" t="s">
        <v>20</v>
      </c>
      <c r="F11" s="94" t="s">
        <v>4076</v>
      </c>
      <c r="G11" s="94" t="s">
        <v>20</v>
      </c>
      <c r="H11" s="94" t="s">
        <v>4076</v>
      </c>
      <c r="I11" s="124" t="s">
        <v>20</v>
      </c>
      <c r="J11" s="124" t="s">
        <v>4076</v>
      </c>
    </row>
    <row r="12" spans="2:10" x14ac:dyDescent="0.3">
      <c r="B12" s="38" t="s">
        <v>5</v>
      </c>
      <c r="C12" s="90">
        <f>_xlfn.XLOOKUP(B12,Monthly_Totals[Month],Monthly_Totals[Instruction])/60</f>
        <v>0</v>
      </c>
      <c r="D12" s="90">
        <f>_xlfn.XLOOKUP(B12,Monthly_Totals[Month],Monthly_Totals[NonInstruction])/60</f>
        <v>0</v>
      </c>
      <c r="E12" s="90">
        <f>_xlfn.XLOOKUP(B12,Exception_Totals[Month],Exception_Totals[Instructional])/60</f>
        <v>0</v>
      </c>
      <c r="F12" s="90">
        <f>_xlfn.XLOOKUP(B12,Exception_Totals[Month],Exception_Totals[Non-Instructional])/60</f>
        <v>0</v>
      </c>
      <c r="G12" s="90">
        <f>C12+E12</f>
        <v>0</v>
      </c>
      <c r="H12" s="123">
        <f>+D12+F12</f>
        <v>0</v>
      </c>
      <c r="I12" s="125">
        <f t="shared" ref="I12:I23" si="0">(FTE*916)-G12</f>
        <v>0</v>
      </c>
      <c r="J12" s="125">
        <f t="shared" ref="J12:J23" si="1">(FTE*284)-H12</f>
        <v>0</v>
      </c>
    </row>
    <row r="13" spans="2:10" x14ac:dyDescent="0.3">
      <c r="B13" s="38" t="s">
        <v>35</v>
      </c>
      <c r="C13" s="90">
        <f>_xlfn.XLOOKUP(B13,Monthly_Totals[Month],Monthly_Totals[Instruction])/60</f>
        <v>0</v>
      </c>
      <c r="D13" s="90">
        <f>_xlfn.XLOOKUP(B13,Monthly_Totals[Month],Monthly_Totals[NonInstruction])/60</f>
        <v>0</v>
      </c>
      <c r="E13" s="90">
        <f>_xlfn.XLOOKUP(B13,Exception_Totals[Month],Exception_Totals[Instructional])/60</f>
        <v>0</v>
      </c>
      <c r="F13" s="90">
        <f>_xlfn.XLOOKUP(B13,Exception_Totals[Month],Exception_Totals[Non-Instructional])/60</f>
        <v>0</v>
      </c>
      <c r="G13" s="90">
        <f>+G12+C13+E13</f>
        <v>0</v>
      </c>
      <c r="H13" s="123">
        <f>H12+D13+F13</f>
        <v>0</v>
      </c>
      <c r="I13" s="125">
        <f t="shared" si="0"/>
        <v>0</v>
      </c>
      <c r="J13" s="125">
        <f t="shared" si="1"/>
        <v>0</v>
      </c>
    </row>
    <row r="14" spans="2:10" x14ac:dyDescent="0.3">
      <c r="B14" s="38" t="s">
        <v>36</v>
      </c>
      <c r="C14" s="90">
        <f>_xlfn.XLOOKUP(B14,Monthly_Totals[Month],Monthly_Totals[Instruction])/60</f>
        <v>0</v>
      </c>
      <c r="D14" s="90">
        <f>_xlfn.XLOOKUP(B14,Monthly_Totals[Month],Monthly_Totals[NonInstruction])/60</f>
        <v>0</v>
      </c>
      <c r="E14" s="90">
        <f>_xlfn.XLOOKUP(B14,Exception_Totals[Month],Exception_Totals[Instructional])/60</f>
        <v>0</v>
      </c>
      <c r="F14" s="90">
        <f>_xlfn.XLOOKUP(B14,Exception_Totals[Month],Exception_Totals[Non-Instructional])/60</f>
        <v>0</v>
      </c>
      <c r="G14" s="90">
        <f t="shared" ref="G14:G23" si="2">+G13+C14+E14</f>
        <v>0</v>
      </c>
      <c r="H14" s="123">
        <f t="shared" ref="H14:H23" si="3">H13+D14+F14</f>
        <v>0</v>
      </c>
      <c r="I14" s="125">
        <f t="shared" si="0"/>
        <v>0</v>
      </c>
      <c r="J14" s="125">
        <f t="shared" si="1"/>
        <v>0</v>
      </c>
    </row>
    <row r="15" spans="2:10" x14ac:dyDescent="0.3">
      <c r="B15" s="38" t="s">
        <v>37</v>
      </c>
      <c r="C15" s="90">
        <f>_xlfn.XLOOKUP(B15,Monthly_Totals[Month],Monthly_Totals[Instruction])/60</f>
        <v>0</v>
      </c>
      <c r="D15" s="90">
        <f>_xlfn.XLOOKUP(B15,Monthly_Totals[Month],Monthly_Totals[NonInstruction])/60</f>
        <v>0</v>
      </c>
      <c r="E15" s="90">
        <f>_xlfn.XLOOKUP(B15,Exception_Totals[Month],Exception_Totals[Instructional])/60</f>
        <v>0</v>
      </c>
      <c r="F15" s="90">
        <f>_xlfn.XLOOKUP(B15,Exception_Totals[Month],Exception_Totals[Non-Instructional])/60</f>
        <v>0</v>
      </c>
      <c r="G15" s="90">
        <f t="shared" si="2"/>
        <v>0</v>
      </c>
      <c r="H15" s="123">
        <f t="shared" si="3"/>
        <v>0</v>
      </c>
      <c r="I15" s="125">
        <f t="shared" si="0"/>
        <v>0</v>
      </c>
      <c r="J15" s="125">
        <f t="shared" si="1"/>
        <v>0</v>
      </c>
    </row>
    <row r="16" spans="2:10" x14ac:dyDescent="0.3">
      <c r="B16" s="38" t="s">
        <v>38</v>
      </c>
      <c r="C16" s="90">
        <f>_xlfn.XLOOKUP(B16,Monthly_Totals[Month],Monthly_Totals[Instruction])/60</f>
        <v>0</v>
      </c>
      <c r="D16" s="90">
        <f>_xlfn.XLOOKUP(B16,Monthly_Totals[Month],Monthly_Totals[NonInstruction])/60</f>
        <v>0</v>
      </c>
      <c r="E16" s="90">
        <f>_xlfn.XLOOKUP(B16,Exception_Totals[Month],Exception_Totals[Instructional])/60</f>
        <v>0</v>
      </c>
      <c r="F16" s="90">
        <f>_xlfn.XLOOKUP(B16,Exception_Totals[Month],Exception_Totals[Non-Instructional])/60</f>
        <v>0</v>
      </c>
      <c r="G16" s="90">
        <f t="shared" si="2"/>
        <v>0</v>
      </c>
      <c r="H16" s="123">
        <f t="shared" si="3"/>
        <v>0</v>
      </c>
      <c r="I16" s="125">
        <f t="shared" si="0"/>
        <v>0</v>
      </c>
      <c r="J16" s="125">
        <f t="shared" si="1"/>
        <v>0</v>
      </c>
    </row>
    <row r="17" spans="2:10" x14ac:dyDescent="0.3">
      <c r="B17" s="38" t="s">
        <v>39</v>
      </c>
      <c r="C17" s="90">
        <f>_xlfn.XLOOKUP(B17,Monthly_Totals[Month],Monthly_Totals[Instruction])/60</f>
        <v>0</v>
      </c>
      <c r="D17" s="90">
        <f>_xlfn.XLOOKUP(B17,Monthly_Totals[Month],Monthly_Totals[NonInstruction])/60</f>
        <v>0</v>
      </c>
      <c r="E17" s="90">
        <f>_xlfn.XLOOKUP(B17,Exception_Totals[Month],Exception_Totals[Instructional])/60</f>
        <v>0</v>
      </c>
      <c r="F17" s="90">
        <f>_xlfn.XLOOKUP(B17,Exception_Totals[Month],Exception_Totals[Non-Instructional])/60</f>
        <v>0</v>
      </c>
      <c r="G17" s="90">
        <f t="shared" si="2"/>
        <v>0</v>
      </c>
      <c r="H17" s="123">
        <f t="shared" si="3"/>
        <v>0</v>
      </c>
      <c r="I17" s="125">
        <f t="shared" si="0"/>
        <v>0</v>
      </c>
      <c r="J17" s="125">
        <f t="shared" si="1"/>
        <v>0</v>
      </c>
    </row>
    <row r="18" spans="2:10" x14ac:dyDescent="0.3">
      <c r="B18" s="38" t="s">
        <v>40</v>
      </c>
      <c r="C18" s="90">
        <f>_xlfn.XLOOKUP(B18,Monthly_Totals[Month],Monthly_Totals[Instruction])/60</f>
        <v>0</v>
      </c>
      <c r="D18" s="90">
        <f>_xlfn.XLOOKUP(B18,Monthly_Totals[Month],Monthly_Totals[NonInstruction])/60</f>
        <v>0</v>
      </c>
      <c r="E18" s="90">
        <f>_xlfn.XLOOKUP(B18,Exception_Totals[Month],Exception_Totals[Instructional])/60</f>
        <v>0</v>
      </c>
      <c r="F18" s="90">
        <f>_xlfn.XLOOKUP(B18,Exception_Totals[Month],Exception_Totals[Non-Instructional])/60</f>
        <v>0</v>
      </c>
      <c r="G18" s="90">
        <f t="shared" si="2"/>
        <v>0</v>
      </c>
      <c r="H18" s="123">
        <f t="shared" si="3"/>
        <v>0</v>
      </c>
      <c r="I18" s="125">
        <f t="shared" si="0"/>
        <v>0</v>
      </c>
      <c r="J18" s="125">
        <f t="shared" si="1"/>
        <v>0</v>
      </c>
    </row>
    <row r="19" spans="2:10" x14ac:dyDescent="0.3">
      <c r="B19" s="38" t="s">
        <v>41</v>
      </c>
      <c r="C19" s="90">
        <f>_xlfn.XLOOKUP(B19,Monthly_Totals[Month],Monthly_Totals[Instruction])/60</f>
        <v>0</v>
      </c>
      <c r="D19" s="90">
        <f>_xlfn.XLOOKUP(B19,Monthly_Totals[Month],Monthly_Totals[NonInstruction])/60</f>
        <v>0</v>
      </c>
      <c r="E19" s="90">
        <f>_xlfn.XLOOKUP(B19,Exception_Totals[Month],Exception_Totals[Instructional])/60</f>
        <v>0</v>
      </c>
      <c r="F19" s="90">
        <f>_xlfn.XLOOKUP(B19,Exception_Totals[Month],Exception_Totals[Non-Instructional])/60</f>
        <v>0</v>
      </c>
      <c r="G19" s="90">
        <f t="shared" si="2"/>
        <v>0</v>
      </c>
      <c r="H19" s="123">
        <f t="shared" si="3"/>
        <v>0</v>
      </c>
      <c r="I19" s="125">
        <f t="shared" si="0"/>
        <v>0</v>
      </c>
      <c r="J19" s="125">
        <f t="shared" si="1"/>
        <v>0</v>
      </c>
    </row>
    <row r="20" spans="2:10" x14ac:dyDescent="0.3">
      <c r="B20" s="38" t="s">
        <v>42</v>
      </c>
      <c r="C20" s="90">
        <f>_xlfn.XLOOKUP(B20,Monthly_Totals[Month],Monthly_Totals[Instruction])/60</f>
        <v>0</v>
      </c>
      <c r="D20" s="90">
        <f>_xlfn.XLOOKUP(B20,Monthly_Totals[Month],Monthly_Totals[NonInstruction])/60</f>
        <v>0</v>
      </c>
      <c r="E20" s="90">
        <f>_xlfn.XLOOKUP(B20,Exception_Totals[Month],Exception_Totals[Instructional])/60</f>
        <v>0</v>
      </c>
      <c r="F20" s="90">
        <f>_xlfn.XLOOKUP(B20,Exception_Totals[Month],Exception_Totals[Non-Instructional])/60</f>
        <v>0</v>
      </c>
      <c r="G20" s="90">
        <f t="shared" si="2"/>
        <v>0</v>
      </c>
      <c r="H20" s="123">
        <f t="shared" si="3"/>
        <v>0</v>
      </c>
      <c r="I20" s="125">
        <f t="shared" si="0"/>
        <v>0</v>
      </c>
      <c r="J20" s="125">
        <f t="shared" si="1"/>
        <v>0</v>
      </c>
    </row>
    <row r="21" spans="2:10" x14ac:dyDescent="0.3">
      <c r="B21" s="38" t="s">
        <v>43</v>
      </c>
      <c r="C21" s="90">
        <f>_xlfn.XLOOKUP(B21,Monthly_Totals[Month],Monthly_Totals[Instruction])/60</f>
        <v>0</v>
      </c>
      <c r="D21" s="90">
        <f>_xlfn.XLOOKUP(B21,Monthly_Totals[Month],Monthly_Totals[NonInstruction])/60</f>
        <v>0</v>
      </c>
      <c r="E21" s="90">
        <f>_xlfn.XLOOKUP(B21,Exception_Totals[Month],Exception_Totals[Instructional])/60</f>
        <v>0</v>
      </c>
      <c r="F21" s="90">
        <f>_xlfn.XLOOKUP(B21,Exception_Totals[Month],Exception_Totals[Non-Instructional])/60</f>
        <v>0</v>
      </c>
      <c r="G21" s="90">
        <f t="shared" si="2"/>
        <v>0</v>
      </c>
      <c r="H21" s="123">
        <f t="shared" si="3"/>
        <v>0</v>
      </c>
      <c r="I21" s="125">
        <f t="shared" si="0"/>
        <v>0</v>
      </c>
      <c r="J21" s="125">
        <f t="shared" si="1"/>
        <v>0</v>
      </c>
    </row>
    <row r="22" spans="2:10" x14ac:dyDescent="0.3">
      <c r="B22" s="38" t="s">
        <v>44</v>
      </c>
      <c r="C22" s="90">
        <f>_xlfn.XLOOKUP(B22,Monthly_Totals[Month],Monthly_Totals[Instruction])/60</f>
        <v>0</v>
      </c>
      <c r="D22" s="90">
        <f>_xlfn.XLOOKUP(B22,Monthly_Totals[Month],Monthly_Totals[NonInstruction])/60</f>
        <v>0</v>
      </c>
      <c r="E22" s="90">
        <f>_xlfn.XLOOKUP(B22,Exception_Totals[Month],Exception_Totals[Instructional])/60</f>
        <v>0</v>
      </c>
      <c r="F22" s="90">
        <f>_xlfn.XLOOKUP(B22,Exception_Totals[Month],Exception_Totals[Non-Instructional])/60</f>
        <v>0</v>
      </c>
      <c r="G22" s="90">
        <f t="shared" si="2"/>
        <v>0</v>
      </c>
      <c r="H22" s="123">
        <f t="shared" si="3"/>
        <v>0</v>
      </c>
      <c r="I22" s="125">
        <f t="shared" si="0"/>
        <v>0</v>
      </c>
      <c r="J22" s="125">
        <f t="shared" si="1"/>
        <v>0</v>
      </c>
    </row>
    <row r="23" spans="2:10" ht="15" thickBot="1" x14ac:dyDescent="0.35">
      <c r="B23" s="40" t="s">
        <v>45</v>
      </c>
      <c r="C23" s="91">
        <f>_xlfn.XLOOKUP(B23,Monthly_Totals[Month],Monthly_Totals[Instruction])/60</f>
        <v>0</v>
      </c>
      <c r="D23" s="91">
        <f>_xlfn.XLOOKUP(B23,Monthly_Totals[Month],Monthly_Totals[NonInstruction])/60</f>
        <v>0</v>
      </c>
      <c r="E23" s="91">
        <f>_xlfn.XLOOKUP(B23,Exception_Totals[Month],Exception_Totals[Instructional])/60</f>
        <v>0</v>
      </c>
      <c r="F23" s="91">
        <f>_xlfn.XLOOKUP(B23,Exception_Totals[Month],Exception_Totals[Non-Instructional])/60</f>
        <v>0</v>
      </c>
      <c r="G23" s="125">
        <f t="shared" si="2"/>
        <v>0</v>
      </c>
      <c r="H23" s="125">
        <f t="shared" si="3"/>
        <v>0</v>
      </c>
      <c r="I23" s="125">
        <f t="shared" si="0"/>
        <v>0</v>
      </c>
      <c r="J23" s="125">
        <f t="shared" si="1"/>
        <v>0</v>
      </c>
    </row>
    <row r="24" spans="2:10" ht="15" thickTop="1" x14ac:dyDescent="0.3">
      <c r="B24" s="39" t="s">
        <v>46</v>
      </c>
      <c r="C24" s="92">
        <f>SUM(C12:C23)</f>
        <v>0</v>
      </c>
      <c r="D24" s="92">
        <f t="shared" ref="D24:F24" si="4">SUM(D12:D23)</f>
        <v>0</v>
      </c>
      <c r="E24" s="92">
        <f t="shared" si="4"/>
        <v>0</v>
      </c>
      <c r="F24" s="92">
        <f t="shared" si="4"/>
        <v>0</v>
      </c>
      <c r="G24" s="133"/>
      <c r="H24" s="133"/>
    </row>
    <row r="26" spans="2:10" x14ac:dyDescent="0.3">
      <c r="G26" s="147" t="s">
        <v>4104</v>
      </c>
      <c r="H26" s="147" t="s">
        <v>4105</v>
      </c>
      <c r="J26" s="147" t="s">
        <v>4106</v>
      </c>
    </row>
    <row r="27" spans="2:10" x14ac:dyDescent="0.3">
      <c r="B27" s="89" t="s">
        <v>47</v>
      </c>
      <c r="C27">
        <f>Calculations!Z3</f>
        <v>0</v>
      </c>
      <c r="D27" s="93" t="s">
        <v>4081</v>
      </c>
      <c r="F27" s="134">
        <f>+C24+E24</f>
        <v>0</v>
      </c>
      <c r="G27" s="134">
        <f>IF(ISBLANK(TypicalHours),916*FTE,(916/1200)*TypicalHours*FTE)</f>
        <v>0</v>
      </c>
      <c r="H27">
        <f>ABS(F27-G27)</f>
        <v>0</v>
      </c>
      <c r="I27" t="str">
        <f>IF(F27=G27,"",IF(F27&lt;G27,"under","over"))</f>
        <v/>
      </c>
      <c r="J27" s="148" t="str">
        <f>IF(ISERROR(F27/G27),"",F27/G27)</f>
        <v/>
      </c>
    </row>
    <row r="28" spans="2:10" x14ac:dyDescent="0.3">
      <c r="B28" s="89" t="s">
        <v>48</v>
      </c>
      <c r="C28">
        <f>Calculations!Z4</f>
        <v>0</v>
      </c>
      <c r="D28" s="93" t="s">
        <v>4082</v>
      </c>
      <c r="F28" s="134">
        <f>+D24+F24</f>
        <v>0</v>
      </c>
      <c r="G28" s="134">
        <f>IF(ISBLANK(TypicalHours),1200-G27,(284/1200)*TypicalHours*FTE)</f>
        <v>1200</v>
      </c>
      <c r="H28">
        <f t="shared" ref="H28:H29" si="5">ABS(F28-G28)</f>
        <v>1200</v>
      </c>
      <c r="I28" t="str">
        <f t="shared" ref="I28:I29" si="6">IF(F28=G28,"",IF(F28&lt;G28,"under","over"))</f>
        <v>under</v>
      </c>
      <c r="J28" s="148">
        <f>F28/G28</f>
        <v>0</v>
      </c>
    </row>
    <row r="29" spans="2:10" x14ac:dyDescent="0.3">
      <c r="B29" s="89" t="s">
        <v>49</v>
      </c>
      <c r="C29">
        <f>Calculations!Z5</f>
        <v>0</v>
      </c>
      <c r="D29" s="93" t="s">
        <v>4083</v>
      </c>
      <c r="F29" s="134">
        <f>+F27+F28</f>
        <v>0</v>
      </c>
      <c r="G29" s="134">
        <f>+G27+G28</f>
        <v>1200</v>
      </c>
      <c r="H29">
        <f t="shared" si="5"/>
        <v>1200</v>
      </c>
      <c r="I29" t="str">
        <f t="shared" si="6"/>
        <v>under</v>
      </c>
      <c r="J29" s="148">
        <f>F29/G29</f>
        <v>0</v>
      </c>
    </row>
    <row r="31" spans="2:10" x14ac:dyDescent="0.3">
      <c r="B31" s="89"/>
    </row>
    <row r="118" spans="2:10" x14ac:dyDescent="0.3">
      <c r="B118" s="140" t="s">
        <v>50</v>
      </c>
      <c r="C118" s="140" t="s">
        <v>51</v>
      </c>
      <c r="D118" s="140" t="s">
        <v>1</v>
      </c>
      <c r="E118" s="140" t="s">
        <v>2</v>
      </c>
      <c r="F118" s="140" t="s">
        <v>4088</v>
      </c>
      <c r="G118" s="140" t="s">
        <v>30</v>
      </c>
      <c r="H118" s="140" t="s">
        <v>52</v>
      </c>
      <c r="I118" s="140" t="s">
        <v>53</v>
      </c>
      <c r="J118" s="141"/>
    </row>
    <row r="119" spans="2:10" x14ac:dyDescent="0.3">
      <c r="B119" s="140" t="str">
        <f>+'Detailed Summary'!C8</f>
        <v/>
      </c>
      <c r="C119" s="140">
        <f>'START HERE'!C8</f>
        <v>0</v>
      </c>
      <c r="D119" s="140">
        <f>School</f>
        <v>0</v>
      </c>
      <c r="E119" s="140">
        <f>FTE</f>
        <v>0</v>
      </c>
      <c r="F119" s="140">
        <f>NumTeachers</f>
        <v>0</v>
      </c>
      <c r="G119" s="142">
        <f>C24+E24</f>
        <v>0</v>
      </c>
      <c r="H119" s="142">
        <f>+D24+G24</f>
        <v>0</v>
      </c>
      <c r="I119" s="142">
        <f>+F29</f>
        <v>0</v>
      </c>
      <c r="J119" s="141"/>
    </row>
    <row r="120" spans="2:10" x14ac:dyDescent="0.3">
      <c r="B120" s="141"/>
      <c r="C120" s="141"/>
      <c r="D120" s="141"/>
      <c r="E120" s="141"/>
      <c r="F120" s="141"/>
      <c r="G120" s="141"/>
      <c r="H120" s="141"/>
      <c r="I120" s="141"/>
      <c r="J120" s="141"/>
    </row>
    <row r="121" spans="2:10" x14ac:dyDescent="0.3">
      <c r="B121" s="137"/>
      <c r="C121" s="137"/>
      <c r="D121" s="137"/>
      <c r="E121" s="137"/>
      <c r="F121" s="137"/>
      <c r="G121" s="137"/>
      <c r="H121" s="137"/>
      <c r="I121" s="137"/>
    </row>
    <row r="122" spans="2:10" x14ac:dyDescent="0.3">
      <c r="B122" s="137"/>
      <c r="C122" s="137"/>
      <c r="D122" s="137"/>
      <c r="E122" s="137"/>
      <c r="F122" s="137"/>
      <c r="G122" s="137"/>
      <c r="H122" s="137"/>
      <c r="I122" s="137"/>
    </row>
    <row r="123" spans="2:10" x14ac:dyDescent="0.3">
      <c r="B123" s="137"/>
      <c r="C123" s="137"/>
      <c r="D123" s="137"/>
      <c r="E123" s="137"/>
      <c r="F123" s="137"/>
      <c r="G123" s="137"/>
      <c r="H123" s="137"/>
      <c r="I123" s="137"/>
    </row>
    <row r="124" spans="2:10" x14ac:dyDescent="0.3">
      <c r="B124" s="137"/>
      <c r="C124" s="137"/>
      <c r="D124" s="137"/>
      <c r="E124" s="137"/>
      <c r="F124" s="137"/>
      <c r="G124" s="137"/>
      <c r="H124" s="137"/>
      <c r="I124" s="137"/>
    </row>
    <row r="125" spans="2:10" x14ac:dyDescent="0.3">
      <c r="B125" s="137"/>
      <c r="C125" s="137"/>
      <c r="D125" s="137"/>
      <c r="E125" s="137"/>
      <c r="F125" s="137"/>
      <c r="G125" s="137"/>
      <c r="H125" s="137"/>
      <c r="I125" s="137"/>
    </row>
    <row r="126" spans="2:10" x14ac:dyDescent="0.3">
      <c r="B126" s="137"/>
      <c r="C126" s="137"/>
      <c r="D126" s="137"/>
      <c r="E126" s="137"/>
      <c r="F126" s="137"/>
      <c r="G126" s="137"/>
      <c r="H126" s="137"/>
      <c r="I126" s="137"/>
    </row>
    <row r="127" spans="2:10" x14ac:dyDescent="0.3">
      <c r="B127" s="137"/>
      <c r="C127" s="137"/>
      <c r="D127" s="137"/>
      <c r="E127" s="137"/>
      <c r="F127" s="137"/>
      <c r="G127" s="137"/>
      <c r="H127" s="137"/>
      <c r="I127" s="137"/>
    </row>
    <row r="128" spans="2:10" x14ac:dyDescent="0.3">
      <c r="B128" s="137"/>
      <c r="C128" s="137"/>
      <c r="D128" s="137"/>
      <c r="E128" s="137"/>
      <c r="F128" s="137"/>
      <c r="G128" s="137"/>
      <c r="H128" s="137"/>
      <c r="I128" s="137"/>
    </row>
    <row r="129" spans="2:9" x14ac:dyDescent="0.3">
      <c r="B129" s="137"/>
      <c r="C129" s="137"/>
      <c r="D129" s="137"/>
      <c r="E129" s="137"/>
      <c r="F129" s="137"/>
      <c r="G129" s="137"/>
      <c r="H129" s="137"/>
      <c r="I129" s="137"/>
    </row>
    <row r="130" spans="2:9" x14ac:dyDescent="0.3">
      <c r="B130" s="137"/>
      <c r="C130" s="137"/>
      <c r="D130" s="137"/>
      <c r="E130" s="137"/>
      <c r="F130" s="137"/>
      <c r="G130" s="137"/>
      <c r="H130" s="137"/>
      <c r="I130" s="137"/>
    </row>
    <row r="131" spans="2:9" x14ac:dyDescent="0.3">
      <c r="B131" s="137"/>
      <c r="C131" s="137"/>
      <c r="D131" s="137"/>
      <c r="E131" s="137"/>
      <c r="F131" s="137"/>
      <c r="G131" s="137"/>
      <c r="H131" s="137"/>
      <c r="I131" s="137"/>
    </row>
    <row r="132" spans="2:9" x14ac:dyDescent="0.3">
      <c r="B132" s="137"/>
      <c r="C132" s="137"/>
      <c r="D132" s="137"/>
      <c r="E132" s="137"/>
      <c r="F132" s="137"/>
      <c r="G132" s="137"/>
      <c r="H132" s="137"/>
      <c r="I132" s="137"/>
    </row>
    <row r="133" spans="2:9" x14ac:dyDescent="0.3">
      <c r="B133" s="137"/>
      <c r="C133" s="137"/>
      <c r="D133" s="137"/>
      <c r="E133" s="137"/>
      <c r="F133" s="137"/>
      <c r="G133" s="137"/>
      <c r="H133" s="137"/>
      <c r="I133" s="137"/>
    </row>
    <row r="134" spans="2:9" x14ac:dyDescent="0.3">
      <c r="B134" s="137"/>
      <c r="C134" s="137"/>
      <c r="D134" s="137"/>
      <c r="E134" s="137"/>
      <c r="F134" s="137"/>
      <c r="G134" s="137"/>
      <c r="H134" s="137"/>
      <c r="I134" s="137"/>
    </row>
  </sheetData>
  <sheetProtection algorithmName="SHA-512" hashValue="onZzA5IkOfrlFg/gLs83y5N9MwNEe8jXNAlT4PjRPTvCU+3aV68SIVboDd2nGDjpDiDzCZA09ZU7fmOSByzYmw==" saltValue="/fK4XHmmYCgdSgC6YvDQyA==" spinCount="100000" sheet="1" selectLockedCells="1"/>
  <phoneticPr fontId="23" type="noConversion"/>
  <dataValidations disablePrompts="1" count="1">
    <dataValidation type="list" allowBlank="1" showInputMessage="1" showErrorMessage="1" sqref="C31" xr:uid="{F92D7202-EC3D-4C88-8ADF-904B9795D247}">
      <formula1>"Minutes, Hours"</formula1>
    </dataValidation>
  </dataValidations>
  <pageMargins left="0.7" right="0.7" top="0.75" bottom="0.75" header="0.3" footer="0.3"/>
  <pageSetup paperSize="5"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09E28-9860-49E4-8A9D-8C06ED970E19}">
  <dimension ref="B1:I27"/>
  <sheetViews>
    <sheetView showGridLines="0" showRowColHeaders="0" workbookViewId="0">
      <selection activeCell="C9" sqref="C9"/>
    </sheetView>
  </sheetViews>
  <sheetFormatPr defaultRowHeight="14.4" x14ac:dyDescent="0.3"/>
  <sheetData>
    <row r="1" spans="2:9" x14ac:dyDescent="0.3">
      <c r="B1" s="155" t="s">
        <v>4086</v>
      </c>
      <c r="C1" s="155"/>
      <c r="D1" s="155"/>
      <c r="E1" s="155"/>
      <c r="F1" s="155"/>
      <c r="G1" s="155"/>
      <c r="H1" s="155"/>
      <c r="I1" s="155"/>
    </row>
    <row r="2" spans="2:9" ht="30.6" x14ac:dyDescent="0.55000000000000004">
      <c r="B2" s="121" t="s">
        <v>4076</v>
      </c>
    </row>
    <row r="27" spans="2:2" ht="30.6" x14ac:dyDescent="0.55000000000000004">
      <c r="B27" s="121" t="s">
        <v>20</v>
      </c>
    </row>
  </sheetData>
  <sheetProtection algorithmName="SHA-512" hashValue="Pnh2ahgmTEJO+oHYQwcXtlYfmDeIAnY3XIAXjgP/w3IclZ4vktFh8QD6t8iNAx8YQhv+9K63qdWSWm6/146lLw==" saltValue="Gx80Ag5aC2ZCjBg+n72Wcg==" spinCount="100000" sheet="1" objects="1" scenarios="1"/>
  <mergeCells count="1">
    <mergeCell ref="B1:I1"/>
  </mergeCells>
  <hyperlinks>
    <hyperlink ref="B1" r:id="rId1" xr:uid="{5A1E9744-7E66-4A0D-9692-CCB410789E5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9:Q200"/>
  <sheetViews>
    <sheetView showGridLines="0" showRowColHeaders="0" tabSelected="1" topLeftCell="A10" workbookViewId="0">
      <selection activeCell="D24" sqref="D24:H24"/>
    </sheetView>
  </sheetViews>
  <sheetFormatPr defaultColWidth="8.77734375" defaultRowHeight="14.4" x14ac:dyDescent="0.3"/>
  <cols>
    <col min="1" max="1" width="1.6640625" style="4" customWidth="1"/>
    <col min="2" max="2" width="20.21875" style="4" customWidth="1"/>
    <col min="3" max="8" width="18.88671875" style="4" customWidth="1"/>
    <col min="9" max="9" width="1.6640625" style="4" customWidth="1"/>
    <col min="10" max="10" width="8.77734375" style="4"/>
    <col min="11" max="11" width="16.109375" style="4" bestFit="1" customWidth="1"/>
    <col min="12" max="13" width="8.77734375" style="4"/>
    <col min="14" max="14" width="6.77734375" style="4" customWidth="1"/>
    <col min="15" max="16384" width="8.77734375" style="4"/>
  </cols>
  <sheetData>
    <row r="9" spans="1:17" ht="9" customHeight="1" x14ac:dyDescent="0.3">
      <c r="A9" s="5"/>
      <c r="I9" s="4" t="s">
        <v>4</v>
      </c>
    </row>
    <row r="10" spans="1:17" ht="95.25" customHeight="1" x14ac:dyDescent="1.1000000000000001">
      <c r="B10" s="47">
        <v>2026</v>
      </c>
      <c r="C10" s="156" t="s">
        <v>5</v>
      </c>
      <c r="D10" s="156"/>
      <c r="E10" s="44"/>
      <c r="F10" s="45"/>
      <c r="G10" s="45"/>
      <c r="H10" s="46"/>
    </row>
    <row r="11" spans="1:17" ht="9" customHeight="1" x14ac:dyDescent="0.3"/>
    <row r="12" spans="1:17" s="6" customFormat="1" ht="24" customHeight="1" x14ac:dyDescent="0.35">
      <c r="B12" s="49" t="s">
        <v>6</v>
      </c>
      <c r="C12" s="50" t="str">
        <f>(TEXT(C13,"dddd"))</f>
        <v>Monday</v>
      </c>
      <c r="D12" s="49" t="str">
        <f>TEXT(D13,"dddd")</f>
        <v>Tuesday</v>
      </c>
      <c r="E12" s="50" t="str">
        <f>TEXT(E13,"dddd")</f>
        <v>Wednesday</v>
      </c>
      <c r="F12" s="49" t="str">
        <f>TEXT(F13,"dddd")</f>
        <v>Thursday</v>
      </c>
      <c r="G12" s="50" t="str">
        <f>TEXT(G13,"dddd")</f>
        <v>Friday</v>
      </c>
      <c r="H12" s="49" t="str">
        <f>(TEXT(H13,"dddd"))</f>
        <v>Saturday</v>
      </c>
    </row>
    <row r="13" spans="1:17" s="7" customFormat="1" ht="24" customHeight="1" x14ac:dyDescent="0.45">
      <c r="B13" s="52">
        <f t="array" ref="B13:H13">Days+1+DATE(Calendar1Year,Calendar1MonthOption,1)-WEEKDAY(DATE(Calendar1Year,Calendar1MonthOption,1),WeekdayOption)</f>
        <v>46229</v>
      </c>
      <c r="C13" s="14">
        <v>46230</v>
      </c>
      <c r="D13" s="17">
        <v>46231</v>
      </c>
      <c r="E13" s="20">
        <v>46232</v>
      </c>
      <c r="F13" s="23">
        <v>46233</v>
      </c>
      <c r="G13" s="26">
        <v>46234</v>
      </c>
      <c r="H13" s="31">
        <v>46235</v>
      </c>
    </row>
    <row r="14" spans="1:17" s="8" customFormat="1" ht="51" customHeight="1" x14ac:dyDescent="0.35">
      <c r="B14" s="151"/>
      <c r="C14" s="151"/>
      <c r="D14" s="151"/>
      <c r="E14" s="151"/>
      <c r="F14" s="151"/>
      <c r="G14" s="151"/>
      <c r="H14" s="55"/>
      <c r="K14" s="163" t="s">
        <v>4084</v>
      </c>
      <c r="L14" s="163"/>
      <c r="M14" s="163"/>
      <c r="N14" s="163"/>
      <c r="O14" s="163"/>
      <c r="P14" s="163"/>
      <c r="Q14" s="163"/>
    </row>
    <row r="15" spans="1:17" s="7" customFormat="1" ht="24" customHeight="1" x14ac:dyDescent="0.45">
      <c r="B15" s="53">
        <f t="array" ref="B15:H15">Days+8+DATE(Calendar1Year,Calendar1MonthOption,1)-WEEKDAY(DATE(Calendar1Year,Calendar1MonthOption,1),WeekdayOption)</f>
        <v>46236</v>
      </c>
      <c r="C15" s="15">
        <v>46237</v>
      </c>
      <c r="D15" s="18">
        <v>46238</v>
      </c>
      <c r="E15" s="21">
        <v>46239</v>
      </c>
      <c r="F15" s="24">
        <v>46240</v>
      </c>
      <c r="G15" s="27">
        <v>46241</v>
      </c>
      <c r="H15" s="32">
        <v>46242</v>
      </c>
      <c r="L15" s="162"/>
      <c r="M15" s="162"/>
      <c r="N15" s="162"/>
      <c r="O15" s="162"/>
      <c r="P15" s="162"/>
    </row>
    <row r="16" spans="1:17" s="8" customFormat="1" ht="51" customHeight="1" x14ac:dyDescent="0.35">
      <c r="B16" s="56"/>
      <c r="C16" s="97"/>
      <c r="D16" s="97"/>
      <c r="E16" s="97"/>
      <c r="F16" s="97"/>
      <c r="G16" s="97"/>
      <c r="H16" s="57"/>
    </row>
    <row r="17" spans="2:11" s="7" customFormat="1" ht="24" customHeight="1" x14ac:dyDescent="0.45">
      <c r="B17" s="54">
        <f t="array" ref="B17:H17">Days+15+DATE(Calendar1Year,Calendar1MonthOption,1)-WEEKDAY(DATE(Calendar1Year,Calendar1MonthOption,1),WeekdayOption)</f>
        <v>46243</v>
      </c>
      <c r="C17" s="16">
        <v>46244</v>
      </c>
      <c r="D17" s="19">
        <v>46245</v>
      </c>
      <c r="E17" s="22">
        <v>46246</v>
      </c>
      <c r="F17" s="25">
        <v>46247</v>
      </c>
      <c r="G17" s="28">
        <v>46248</v>
      </c>
      <c r="H17" s="51">
        <v>46249</v>
      </c>
    </row>
    <row r="18" spans="2:11" s="8" customFormat="1" ht="51" customHeight="1" x14ac:dyDescent="0.35">
      <c r="B18" s="58"/>
      <c r="C18" s="97"/>
      <c r="D18" s="97"/>
      <c r="E18" s="97"/>
      <c r="F18" s="97"/>
      <c r="G18" s="97"/>
      <c r="H18" s="59"/>
    </row>
    <row r="19" spans="2:11" s="7" customFormat="1" ht="24" customHeight="1" x14ac:dyDescent="0.3">
      <c r="B19" s="60">
        <f t="array" ref="B19:H19">Days+22+DATE(Calendar1Year,Calendar1MonthOption,1)-WEEKDAY(DATE(Calendar1Year,Calendar1MonthOption,1),WeekdayOption)</f>
        <v>46250</v>
      </c>
      <c r="C19" s="61">
        <v>46251</v>
      </c>
      <c r="D19" s="62">
        <v>46252</v>
      </c>
      <c r="E19" s="63">
        <v>46253</v>
      </c>
      <c r="F19" s="64">
        <v>46254</v>
      </c>
      <c r="G19" s="65">
        <v>46255</v>
      </c>
      <c r="H19" s="66">
        <v>46256</v>
      </c>
    </row>
    <row r="20" spans="2:11" s="8" customFormat="1" ht="51" customHeight="1" x14ac:dyDescent="0.35">
      <c r="B20" s="67"/>
      <c r="C20" s="97"/>
      <c r="D20" s="97"/>
      <c r="E20" s="97"/>
      <c r="F20" s="97"/>
      <c r="G20" s="97"/>
      <c r="H20" s="68"/>
    </row>
    <row r="21" spans="2:11" s="7" customFormat="1" ht="24" customHeight="1" x14ac:dyDescent="0.3">
      <c r="B21" s="69">
        <f t="array" ref="B21:H21">Days+29+DATE(Calendar1Year,Calendar1MonthOption,1)-WEEKDAY(DATE(Calendar1Year,Calendar1MonthOption,1),WeekdayOption)</f>
        <v>46257</v>
      </c>
      <c r="C21" s="70">
        <v>46258</v>
      </c>
      <c r="D21" s="71">
        <v>46259</v>
      </c>
      <c r="E21" s="72">
        <v>46260</v>
      </c>
      <c r="F21" s="73">
        <v>46261</v>
      </c>
      <c r="G21" s="74">
        <v>46262</v>
      </c>
      <c r="H21" s="75">
        <v>46263</v>
      </c>
    </row>
    <row r="22" spans="2:11" s="8" customFormat="1" ht="51" customHeight="1" x14ac:dyDescent="0.35">
      <c r="B22" s="76"/>
      <c r="C22" s="97"/>
      <c r="D22" s="97"/>
      <c r="E22" s="97"/>
      <c r="F22" s="97"/>
      <c r="G22" s="98"/>
      <c r="H22" s="77"/>
    </row>
    <row r="23" spans="2:11" s="9" customFormat="1" ht="24" customHeight="1" x14ac:dyDescent="0.45">
      <c r="B23" s="78">
        <f t="array" ref="B23:C23">Days+36+DATE(Calendar1Year,Calendar1MonthOption,1)-WEEKDAY(DATE(Calendar1Year,Calendar1MonthOption,1),WeekdayOption)</f>
        <v>46264</v>
      </c>
      <c r="C23" s="79">
        <v>46265</v>
      </c>
      <c r="D23" s="165" t="s">
        <v>7</v>
      </c>
      <c r="E23" s="166"/>
      <c r="F23" s="166"/>
      <c r="G23" s="166"/>
      <c r="H23" s="166"/>
    </row>
    <row r="24" spans="2:11" s="8" customFormat="1" ht="51" customHeight="1" x14ac:dyDescent="0.35">
      <c r="B24" s="80"/>
      <c r="C24" s="97"/>
      <c r="D24" s="159"/>
      <c r="E24" s="159"/>
      <c r="F24" s="159"/>
      <c r="G24" s="159"/>
      <c r="H24" s="159"/>
    </row>
    <row r="25" spans="2:11" s="10" customFormat="1" ht="9" customHeight="1" x14ac:dyDescent="0.3">
      <c r="B25" s="1"/>
      <c r="C25" s="1"/>
      <c r="D25" s="2"/>
      <c r="E25" s="2"/>
      <c r="F25" s="2"/>
      <c r="G25" s="2"/>
      <c r="H25" s="2"/>
    </row>
    <row r="26" spans="2:11" ht="95.25" customHeight="1" x14ac:dyDescent="1.1000000000000001">
      <c r="B26" s="47">
        <f>YEAR(DATE(Calendar1Year,Calendar1MonthOption+1,1))</f>
        <v>2026</v>
      </c>
      <c r="C26" s="156" t="str">
        <f>TEXT(DATE(Calendar1Year,Calendar1MonthOption+1,1),"mmmm")</f>
        <v>September</v>
      </c>
      <c r="D26" s="156"/>
      <c r="E26" s="44"/>
      <c r="F26" s="45"/>
      <c r="G26" s="45"/>
      <c r="H26" s="46"/>
    </row>
    <row r="27" spans="2:11" ht="9" customHeight="1" x14ac:dyDescent="0.3"/>
    <row r="28" spans="2:11" s="6" customFormat="1" ht="24" customHeight="1" x14ac:dyDescent="0.35">
      <c r="B28" s="49" t="str">
        <f t="shared" ref="B28:H28" si="0">TEXT(B29,"dddd")</f>
        <v>Sunday</v>
      </c>
      <c r="C28" s="50" t="str">
        <f t="shared" si="0"/>
        <v>Monday</v>
      </c>
      <c r="D28" s="49" t="str">
        <f t="shared" si="0"/>
        <v>Tuesday</v>
      </c>
      <c r="E28" s="50" t="str">
        <f t="shared" si="0"/>
        <v>Wednesday</v>
      </c>
      <c r="F28" s="49" t="str">
        <f t="shared" si="0"/>
        <v>Thursday</v>
      </c>
      <c r="G28" s="50" t="str">
        <f t="shared" si="0"/>
        <v>Friday</v>
      </c>
      <c r="H28" s="49" t="str">
        <f t="shared" si="0"/>
        <v>Saturday</v>
      </c>
    </row>
    <row r="29" spans="2:11" s="9" customFormat="1" ht="24" customHeight="1" x14ac:dyDescent="0.45">
      <c r="B29" s="31">
        <f t="array" ref="B29:H29">Days+1+DATE(Calendar2Year,Calendar2MonthOption,1)-WEEKDAY(DATE(Calendar2Year,Calendar2MonthOption,1),WeekdayOption)</f>
        <v>46264</v>
      </c>
      <c r="C29" s="29">
        <v>46265</v>
      </c>
      <c r="D29" s="29">
        <v>46266</v>
      </c>
      <c r="E29" s="29">
        <v>46267</v>
      </c>
      <c r="F29" s="29">
        <v>46268</v>
      </c>
      <c r="G29" s="29">
        <v>46269</v>
      </c>
      <c r="H29" s="31">
        <v>46270</v>
      </c>
      <c r="K29" s="41"/>
    </row>
    <row r="30" spans="2:11" s="8" customFormat="1" ht="51" customHeight="1" x14ac:dyDescent="0.35">
      <c r="B30" s="81"/>
      <c r="C30" s="97"/>
      <c r="D30" s="97"/>
      <c r="E30" s="97"/>
      <c r="F30" s="97"/>
      <c r="G30" s="97"/>
      <c r="H30" s="81"/>
    </row>
    <row r="31" spans="2:11" s="9" customFormat="1" ht="24" customHeight="1" x14ac:dyDescent="0.45">
      <c r="B31" s="32">
        <f t="array" ref="B31:H31">Days+8+DATE(Calendar2Year,Calendar2MonthOption,1)-WEEKDAY(DATE(Calendar2Year,Calendar2MonthOption,1),WeekdayOption)</f>
        <v>46271</v>
      </c>
      <c r="C31" s="29">
        <v>46272</v>
      </c>
      <c r="D31" s="30">
        <v>46273</v>
      </c>
      <c r="E31" s="30">
        <v>46274</v>
      </c>
      <c r="F31" s="30">
        <v>46275</v>
      </c>
      <c r="G31" s="30">
        <v>46276</v>
      </c>
      <c r="H31" s="32">
        <v>46277</v>
      </c>
      <c r="K31" s="41"/>
    </row>
    <row r="32" spans="2:11" s="8" customFormat="1" ht="51" customHeight="1" x14ac:dyDescent="0.35">
      <c r="B32" s="55"/>
      <c r="C32" s="97" t="s">
        <v>8</v>
      </c>
      <c r="D32" s="97"/>
      <c r="E32" s="97"/>
      <c r="F32" s="97"/>
      <c r="G32" s="97"/>
      <c r="H32" s="55"/>
    </row>
    <row r="33" spans="2:11" s="9" customFormat="1" ht="24" customHeight="1" x14ac:dyDescent="0.45">
      <c r="B33" s="32">
        <f t="array" ref="B33:H33">Days+15+DATE(Calendar2Year,Calendar2MonthOption,1)-WEEKDAY(DATE(Calendar2Year,Calendar2MonthOption,1),WeekdayOption)</f>
        <v>46278</v>
      </c>
      <c r="C33" s="30">
        <v>46279</v>
      </c>
      <c r="D33" s="30">
        <v>46280</v>
      </c>
      <c r="E33" s="30">
        <v>46281</v>
      </c>
      <c r="F33" s="30">
        <v>46282</v>
      </c>
      <c r="G33" s="30">
        <v>46283</v>
      </c>
      <c r="H33" s="32">
        <v>46284</v>
      </c>
      <c r="K33" s="41"/>
    </row>
    <row r="34" spans="2:11" s="8" customFormat="1" ht="51" customHeight="1" x14ac:dyDescent="0.35">
      <c r="B34" s="55"/>
      <c r="C34" s="97"/>
      <c r="D34" s="97"/>
      <c r="E34" s="97"/>
      <c r="F34" s="97"/>
      <c r="G34" s="97"/>
      <c r="H34" s="55"/>
    </row>
    <row r="35" spans="2:11" s="9" customFormat="1" ht="24" customHeight="1" x14ac:dyDescent="0.45">
      <c r="B35" s="32">
        <f t="array" ref="B35:H35">Days+22+DATE(Calendar2Year,Calendar2MonthOption,1)-WEEKDAY(DATE(Calendar2Year,Calendar2MonthOption,1),WeekdayOption)</f>
        <v>46285</v>
      </c>
      <c r="C35" s="30">
        <v>46286</v>
      </c>
      <c r="D35" s="30">
        <v>46287</v>
      </c>
      <c r="E35" s="30">
        <v>46288</v>
      </c>
      <c r="F35" s="30">
        <v>46289</v>
      </c>
      <c r="G35" s="30">
        <v>46290</v>
      </c>
      <c r="H35" s="32">
        <v>46291</v>
      </c>
      <c r="K35" s="41"/>
    </row>
    <row r="36" spans="2:11" s="8" customFormat="1" ht="51" customHeight="1" x14ac:dyDescent="0.35">
      <c r="B36" s="55"/>
      <c r="C36" s="97"/>
      <c r="D36" s="97"/>
      <c r="E36" s="97"/>
      <c r="F36" s="97"/>
      <c r="G36" s="97"/>
      <c r="H36" s="55"/>
    </row>
    <row r="37" spans="2:11" s="9" customFormat="1" ht="24" customHeight="1" x14ac:dyDescent="0.45">
      <c r="B37" s="32">
        <f t="array" ref="B37:H37">Days+29+DATE(Calendar2Year,Calendar2MonthOption,1)-WEEKDAY(DATE(Calendar2Year,Calendar2MonthOption,1),WeekdayOption)</f>
        <v>46292</v>
      </c>
      <c r="C37" s="30">
        <v>46293</v>
      </c>
      <c r="D37" s="30">
        <v>46294</v>
      </c>
      <c r="E37" s="30">
        <v>46295</v>
      </c>
      <c r="F37" s="30">
        <v>46296</v>
      </c>
      <c r="G37" s="30">
        <v>46297</v>
      </c>
      <c r="H37" s="32">
        <v>46298</v>
      </c>
    </row>
    <row r="38" spans="2:11" s="8" customFormat="1" ht="51" customHeight="1" x14ac:dyDescent="0.35">
      <c r="B38" s="81"/>
      <c r="C38" s="97"/>
      <c r="D38" s="97"/>
      <c r="E38" s="97"/>
      <c r="F38" s="152"/>
      <c r="G38" s="152"/>
      <c r="H38" s="55"/>
    </row>
    <row r="39" spans="2:11" s="9" customFormat="1" ht="24" customHeight="1" x14ac:dyDescent="0.45">
      <c r="B39" s="3">
        <f t="array" ref="B39:C39">Days+36+DATE(Calendar2Year,Calendar2MonthOption,1)-WEEKDAY(DATE(Calendar2Year,Calendar2MonthOption,1),WeekdayOption)</f>
        <v>46299</v>
      </c>
      <c r="C39" s="29">
        <v>46300</v>
      </c>
      <c r="D39" s="157" t="s">
        <v>7</v>
      </c>
      <c r="E39" s="157"/>
      <c r="F39" s="157"/>
      <c r="G39" s="157"/>
      <c r="H39" s="157"/>
    </row>
    <row r="40" spans="2:11" s="8" customFormat="1" ht="51" customHeight="1" x14ac:dyDescent="0.35">
      <c r="B40" s="81"/>
      <c r="C40" s="101"/>
      <c r="D40" s="159"/>
      <c r="E40" s="159"/>
      <c r="F40" s="159"/>
      <c r="G40" s="159"/>
      <c r="H40" s="159"/>
    </row>
    <row r="41" spans="2:11" s="10" customFormat="1" ht="9" customHeight="1" x14ac:dyDescent="0.3">
      <c r="B41" s="1"/>
      <c r="C41" s="1"/>
      <c r="D41" s="2"/>
      <c r="E41" s="2"/>
      <c r="F41" s="2"/>
      <c r="G41" s="2"/>
      <c r="H41" s="2"/>
    </row>
    <row r="42" spans="2:11" ht="95.25" customHeight="1" x14ac:dyDescent="1.1000000000000001">
      <c r="B42" s="47">
        <f>YEAR(DATE(Calendar2Year,Calendar2MonthOption+1,1))</f>
        <v>2026</v>
      </c>
      <c r="C42" s="156" t="str">
        <f>TEXT(DATE(Calendar2Year,Calendar2MonthOption+1,1),"mmmm")</f>
        <v>October</v>
      </c>
      <c r="D42" s="156"/>
      <c r="E42" s="44"/>
      <c r="F42" s="45"/>
      <c r="G42" s="45"/>
      <c r="H42" s="46"/>
    </row>
    <row r="43" spans="2:11" ht="9" customHeight="1" x14ac:dyDescent="0.3"/>
    <row r="44" spans="2:11" s="6" customFormat="1" ht="24" customHeight="1" x14ac:dyDescent="0.35">
      <c r="B44" s="49" t="str">
        <f t="shared" ref="B44:H44" si="1">TEXT(B45,"dddd")</f>
        <v>Sunday</v>
      </c>
      <c r="C44" s="50" t="str">
        <f t="shared" si="1"/>
        <v>Monday</v>
      </c>
      <c r="D44" s="49" t="str">
        <f t="shared" si="1"/>
        <v>Tuesday</v>
      </c>
      <c r="E44" s="50" t="str">
        <f t="shared" si="1"/>
        <v>Wednesday</v>
      </c>
      <c r="F44" s="49" t="str">
        <f t="shared" si="1"/>
        <v>Thursday</v>
      </c>
      <c r="G44" s="50" t="str">
        <f t="shared" si="1"/>
        <v>Friday</v>
      </c>
      <c r="H44" s="49" t="str">
        <f t="shared" si="1"/>
        <v>Saturday</v>
      </c>
    </row>
    <row r="45" spans="2:11" s="7" customFormat="1" ht="24" customHeight="1" x14ac:dyDescent="0.45">
      <c r="B45" s="31">
        <f t="array" ref="B45:H45">Days+1+DATE(Calendar3Year,Calendar3MonthOption,1)-WEEKDAY(DATE(Calendar3Year,Calendar3MonthOption,1),WeekdayOption)</f>
        <v>46292</v>
      </c>
      <c r="C45" s="29">
        <v>46293</v>
      </c>
      <c r="D45" s="29">
        <v>46294</v>
      </c>
      <c r="E45" s="29">
        <v>46295</v>
      </c>
      <c r="F45" s="29">
        <v>46296</v>
      </c>
      <c r="G45" s="29">
        <v>46297</v>
      </c>
      <c r="H45" s="3">
        <v>46298</v>
      </c>
    </row>
    <row r="46" spans="2:11" s="8" customFormat="1" ht="51" customHeight="1" x14ac:dyDescent="0.35">
      <c r="B46" s="55"/>
      <c r="C46" s="152"/>
      <c r="D46" s="152"/>
      <c r="E46" s="152"/>
      <c r="F46" s="97"/>
      <c r="G46" s="97"/>
      <c r="H46" s="55"/>
    </row>
    <row r="47" spans="2:11" s="7" customFormat="1" ht="24" customHeight="1" x14ac:dyDescent="0.45">
      <c r="B47" s="32">
        <f t="array" ref="B47:H47">Days+8+DATE(Calendar3Year,Calendar3MonthOption,1)-WEEKDAY(DATE(Calendar3Year,Calendar3MonthOption,1),WeekdayOption)</f>
        <v>46299</v>
      </c>
      <c r="C47" s="43">
        <v>46300</v>
      </c>
      <c r="D47" s="30">
        <v>46301</v>
      </c>
      <c r="E47" s="30">
        <v>46302</v>
      </c>
      <c r="F47" s="30">
        <v>46303</v>
      </c>
      <c r="G47" s="30">
        <v>46304</v>
      </c>
      <c r="H47" s="32">
        <v>46305</v>
      </c>
    </row>
    <row r="48" spans="2:11" s="8" customFormat="1" ht="51" customHeight="1" x14ac:dyDescent="0.35">
      <c r="B48" s="55"/>
      <c r="C48" s="97"/>
      <c r="D48" s="97"/>
      <c r="E48" s="97"/>
      <c r="F48" s="97"/>
      <c r="G48" s="97"/>
      <c r="H48" s="55"/>
    </row>
    <row r="49" spans="2:8" s="7" customFormat="1" ht="24" customHeight="1" x14ac:dyDescent="0.45">
      <c r="B49" s="32">
        <f t="array" ref="B49:H49">Days+15+DATE(Calendar3Year,Calendar3MonthOption,1)-WEEKDAY(DATE(Calendar3Year,Calendar3MonthOption,1),WeekdayOption)</f>
        <v>46306</v>
      </c>
      <c r="C49" s="30">
        <v>46307</v>
      </c>
      <c r="D49" s="30">
        <v>46308</v>
      </c>
      <c r="E49" s="30">
        <v>46309</v>
      </c>
      <c r="F49" s="30">
        <v>46310</v>
      </c>
      <c r="G49" s="30">
        <v>46311</v>
      </c>
      <c r="H49" s="32">
        <v>46312</v>
      </c>
    </row>
    <row r="50" spans="2:8" s="8" customFormat="1" ht="51" customHeight="1" x14ac:dyDescent="0.35">
      <c r="B50" s="55"/>
      <c r="C50" s="97" t="s">
        <v>8</v>
      </c>
      <c r="D50" s="97"/>
      <c r="E50" s="97"/>
      <c r="F50" s="97"/>
      <c r="G50" s="97"/>
      <c r="H50" s="55"/>
    </row>
    <row r="51" spans="2:8" s="7" customFormat="1" ht="24" customHeight="1" x14ac:dyDescent="0.45">
      <c r="B51" s="32">
        <f t="array" ref="B51:H51">Days+22+DATE(Calendar3Year,Calendar3MonthOption,1)-WEEKDAY(DATE(Calendar3Year,Calendar3MonthOption,1),WeekdayOption)</f>
        <v>46313</v>
      </c>
      <c r="C51" s="30">
        <v>46314</v>
      </c>
      <c r="D51" s="30">
        <v>46315</v>
      </c>
      <c r="E51" s="30">
        <v>46316</v>
      </c>
      <c r="F51" s="30">
        <v>46317</v>
      </c>
      <c r="G51" s="30">
        <v>46318</v>
      </c>
      <c r="H51" s="32">
        <v>46319</v>
      </c>
    </row>
    <row r="52" spans="2:8" s="8" customFormat="1" ht="51" customHeight="1" x14ac:dyDescent="0.35">
      <c r="B52" s="55"/>
      <c r="C52" s="97"/>
      <c r="D52" s="97"/>
      <c r="E52" s="97"/>
      <c r="F52" s="97"/>
      <c r="G52" s="97"/>
      <c r="H52" s="55"/>
    </row>
    <row r="53" spans="2:8" s="7" customFormat="1" ht="24" customHeight="1" x14ac:dyDescent="0.45">
      <c r="B53" s="32">
        <f t="array" ref="B53:H53">Days+29+DATE(Calendar3Year,Calendar3MonthOption,1)-WEEKDAY(DATE(Calendar3Year,Calendar3MonthOption,1),WeekdayOption)</f>
        <v>46320</v>
      </c>
      <c r="C53" s="30">
        <v>46321</v>
      </c>
      <c r="D53" s="30">
        <v>46322</v>
      </c>
      <c r="E53" s="30">
        <v>46323</v>
      </c>
      <c r="F53" s="30">
        <v>46324</v>
      </c>
      <c r="G53" s="30">
        <v>46325</v>
      </c>
      <c r="H53" s="32">
        <v>46326</v>
      </c>
    </row>
    <row r="54" spans="2:8" s="8" customFormat="1" ht="51" customHeight="1" x14ac:dyDescent="0.35">
      <c r="B54" s="55"/>
      <c r="C54" s="97"/>
      <c r="D54" s="97"/>
      <c r="E54" s="100"/>
      <c r="F54" s="100"/>
      <c r="G54" s="100"/>
      <c r="H54" s="55"/>
    </row>
    <row r="55" spans="2:8" s="7" customFormat="1" ht="24" customHeight="1" x14ac:dyDescent="0.45">
      <c r="B55" s="31">
        <f t="array" ref="B55:C55">Days+36+DATE(Calendar3Year,Calendar3MonthOption,1)-WEEKDAY(DATE(Calendar3Year,Calendar3MonthOption,1),WeekdayOption)</f>
        <v>46327</v>
      </c>
      <c r="C55" s="29">
        <v>46328</v>
      </c>
      <c r="D55" s="157" t="s">
        <v>7</v>
      </c>
      <c r="E55" s="158"/>
      <c r="F55" s="158"/>
      <c r="G55" s="158"/>
      <c r="H55" s="158"/>
    </row>
    <row r="56" spans="2:8" s="8" customFormat="1" ht="51" customHeight="1" x14ac:dyDescent="0.35">
      <c r="B56" s="81"/>
      <c r="C56" s="152"/>
      <c r="D56" s="159"/>
      <c r="E56" s="159"/>
      <c r="F56" s="159"/>
      <c r="G56" s="159"/>
      <c r="H56" s="159"/>
    </row>
    <row r="57" spans="2:8" s="10" customFormat="1" ht="9" customHeight="1" x14ac:dyDescent="0.3">
      <c r="B57" s="1"/>
      <c r="C57" s="1"/>
      <c r="D57" s="2"/>
      <c r="E57" s="2"/>
      <c r="F57" s="2"/>
      <c r="G57" s="2"/>
      <c r="H57" s="2"/>
    </row>
    <row r="58" spans="2:8" ht="95.25" customHeight="1" x14ac:dyDescent="1.1000000000000001">
      <c r="B58" s="47">
        <f>YEAR(DATE(Calendar3Year,Calendar3MonthOption+1,1))</f>
        <v>2026</v>
      </c>
      <c r="C58" s="156" t="str">
        <f>TEXT(DATE(Calendar3Year,Calendar3MonthOption+1,1),"mmmm")</f>
        <v>November</v>
      </c>
      <c r="D58" s="156"/>
      <c r="E58" s="44"/>
      <c r="F58" s="45"/>
      <c r="G58" s="45"/>
      <c r="H58" s="46"/>
    </row>
    <row r="59" spans="2:8" ht="9" customHeight="1" x14ac:dyDescent="0.3"/>
    <row r="60" spans="2:8" s="6" customFormat="1" ht="24" customHeight="1" x14ac:dyDescent="0.35">
      <c r="B60" s="49" t="str">
        <f t="shared" ref="B60:H60" si="2">TEXT(B61,"dddd")</f>
        <v>Sunday</v>
      </c>
      <c r="C60" s="50" t="str">
        <f t="shared" si="2"/>
        <v>Monday</v>
      </c>
      <c r="D60" s="49" t="str">
        <f t="shared" si="2"/>
        <v>Tuesday</v>
      </c>
      <c r="E60" s="50" t="str">
        <f t="shared" si="2"/>
        <v>Wednesday</v>
      </c>
      <c r="F60" s="49" t="str">
        <f t="shared" si="2"/>
        <v>Thursday</v>
      </c>
      <c r="G60" s="50" t="str">
        <f t="shared" si="2"/>
        <v>Friday</v>
      </c>
      <c r="H60" s="49" t="str">
        <f t="shared" si="2"/>
        <v>Saturday</v>
      </c>
    </row>
    <row r="61" spans="2:8" s="9" customFormat="1" ht="24" customHeight="1" x14ac:dyDescent="0.45">
      <c r="B61" s="31">
        <f t="array" ref="B61:H61">Days+1+DATE(Calendar4Year,Calendar4MonthOption,1)-WEEKDAY(DATE(Calendar4Year,Calendar4MonthOption,1),WeekdayOption)</f>
        <v>46327</v>
      </c>
      <c r="C61" s="29">
        <v>46328</v>
      </c>
      <c r="D61" s="29">
        <v>46329</v>
      </c>
      <c r="E61" s="29">
        <v>46330</v>
      </c>
      <c r="F61" s="29">
        <v>46331</v>
      </c>
      <c r="G61" s="29">
        <v>46332</v>
      </c>
      <c r="H61" s="31">
        <v>46333</v>
      </c>
    </row>
    <row r="62" spans="2:8" s="8" customFormat="1" ht="51" customHeight="1" x14ac:dyDescent="0.35">
      <c r="B62" s="55"/>
      <c r="C62" s="97"/>
      <c r="D62" s="97"/>
      <c r="E62" s="97"/>
      <c r="F62" s="97"/>
      <c r="G62" s="97"/>
      <c r="H62" s="55"/>
    </row>
    <row r="63" spans="2:8" s="9" customFormat="1" ht="24" customHeight="1" x14ac:dyDescent="0.45">
      <c r="B63" s="32">
        <f t="array" ref="B63:H63">Days+8+DATE(Calendar4Year,Calendar4MonthOption,1)-WEEKDAY(DATE(Calendar4Year,Calendar4MonthOption,1),WeekdayOption)</f>
        <v>46334</v>
      </c>
      <c r="C63" s="30">
        <v>46335</v>
      </c>
      <c r="D63" s="30">
        <v>46336</v>
      </c>
      <c r="E63" s="30">
        <v>46337</v>
      </c>
      <c r="F63" s="30">
        <v>46338</v>
      </c>
      <c r="G63" s="30">
        <v>46339</v>
      </c>
      <c r="H63" s="32">
        <v>46340</v>
      </c>
    </row>
    <row r="64" spans="2:8" s="8" customFormat="1" ht="51" customHeight="1" x14ac:dyDescent="0.35">
      <c r="B64" s="55"/>
      <c r="C64" s="97"/>
      <c r="D64" s="97"/>
      <c r="E64" s="97" t="s">
        <v>8</v>
      </c>
      <c r="F64" s="97"/>
      <c r="G64" s="97"/>
      <c r="H64" s="55"/>
    </row>
    <row r="65" spans="2:8" s="9" customFormat="1" ht="24" customHeight="1" x14ac:dyDescent="0.45">
      <c r="B65" s="32">
        <f t="array" ref="B65:H65">Days+15+DATE(Calendar4Year,Calendar4MonthOption,1)-WEEKDAY(DATE(Calendar4Year,Calendar4MonthOption,1),WeekdayOption)</f>
        <v>46341</v>
      </c>
      <c r="C65" s="30">
        <v>46342</v>
      </c>
      <c r="D65" s="30">
        <v>46343</v>
      </c>
      <c r="E65" s="30">
        <v>46344</v>
      </c>
      <c r="F65" s="30">
        <v>46345</v>
      </c>
      <c r="G65" s="30">
        <v>46346</v>
      </c>
      <c r="H65" s="32">
        <v>46347</v>
      </c>
    </row>
    <row r="66" spans="2:8" s="8" customFormat="1" ht="51" customHeight="1" x14ac:dyDescent="0.35">
      <c r="B66" s="55"/>
      <c r="C66" s="97"/>
      <c r="D66" s="97"/>
      <c r="E66" s="97"/>
      <c r="F66" s="97"/>
      <c r="G66" s="97"/>
      <c r="H66" s="55"/>
    </row>
    <row r="67" spans="2:8" s="9" customFormat="1" ht="24" customHeight="1" x14ac:dyDescent="0.45">
      <c r="B67" s="32">
        <f t="array" ref="B67:H67">Days+22+DATE(Calendar4Year,Calendar4MonthOption,1)-WEEKDAY(DATE(Calendar4Year,Calendar4MonthOption,1),WeekdayOption)</f>
        <v>46348</v>
      </c>
      <c r="C67" s="30">
        <v>46349</v>
      </c>
      <c r="D67" s="30">
        <v>46350</v>
      </c>
      <c r="E67" s="30">
        <v>46351</v>
      </c>
      <c r="F67" s="30">
        <v>46352</v>
      </c>
      <c r="G67" s="30">
        <v>46353</v>
      </c>
      <c r="H67" s="32">
        <v>46354</v>
      </c>
    </row>
    <row r="68" spans="2:8" s="8" customFormat="1" ht="51" customHeight="1" x14ac:dyDescent="0.35">
      <c r="B68" s="55"/>
      <c r="C68" s="97"/>
      <c r="D68" s="97"/>
      <c r="E68" s="97"/>
      <c r="F68" s="97"/>
      <c r="G68" s="97"/>
      <c r="H68" s="55"/>
    </row>
    <row r="69" spans="2:8" s="9" customFormat="1" ht="24" customHeight="1" x14ac:dyDescent="0.45">
      <c r="B69" s="32">
        <f t="array" ref="B69:H69">Days+29+DATE(Calendar4Year,Calendar4MonthOption,1)-WEEKDAY(DATE(Calendar4Year,Calendar4MonthOption,1),WeekdayOption)</f>
        <v>46355</v>
      </c>
      <c r="C69" s="30">
        <v>46356</v>
      </c>
      <c r="D69" s="30">
        <v>46357</v>
      </c>
      <c r="E69" s="30">
        <v>46358</v>
      </c>
      <c r="F69" s="30">
        <v>46359</v>
      </c>
      <c r="G69" s="30">
        <v>46360</v>
      </c>
      <c r="H69" s="32">
        <v>46361</v>
      </c>
    </row>
    <row r="70" spans="2:8" s="8" customFormat="1" ht="51" customHeight="1" x14ac:dyDescent="0.35">
      <c r="B70" s="55"/>
      <c r="C70" s="97"/>
      <c r="D70" s="55"/>
      <c r="E70" s="55"/>
      <c r="F70" s="55"/>
      <c r="G70" s="55"/>
      <c r="H70" s="55"/>
    </row>
    <row r="71" spans="2:8" s="9" customFormat="1" ht="24" customHeight="1" x14ac:dyDescent="0.45">
      <c r="B71" s="31">
        <f t="array" ref="B71:C71">Days+36+DATE(Calendar4Year,Calendar4MonthOption,1)-WEEKDAY(DATE(Calendar4Year,Calendar4MonthOption,1),WeekdayOption)</f>
        <v>46362</v>
      </c>
      <c r="C71" s="29">
        <v>46363</v>
      </c>
      <c r="D71" s="157" t="s">
        <v>7</v>
      </c>
      <c r="E71" s="158"/>
      <c r="F71" s="158"/>
      <c r="G71" s="158"/>
      <c r="H71" s="158"/>
    </row>
    <row r="72" spans="2:8" s="8" customFormat="1" ht="51" customHeight="1" x14ac:dyDescent="0.35">
      <c r="B72" s="81"/>
      <c r="C72" s="152"/>
      <c r="D72" s="159"/>
      <c r="E72" s="159"/>
      <c r="F72" s="159"/>
      <c r="G72" s="159"/>
      <c r="H72" s="159"/>
    </row>
    <row r="73" spans="2:8" s="10" customFormat="1" ht="9" customHeight="1" x14ac:dyDescent="0.3">
      <c r="B73" s="1"/>
      <c r="C73" s="1"/>
      <c r="D73" s="2"/>
      <c r="E73" s="2"/>
      <c r="F73" s="2"/>
      <c r="G73" s="2"/>
      <c r="H73" s="2"/>
    </row>
    <row r="74" spans="2:8" ht="95.25" customHeight="1" x14ac:dyDescent="1.1000000000000001">
      <c r="B74" s="47">
        <f>YEAR(DATE(Calendar4Year,Calendar4MonthOption+1,1))</f>
        <v>2026</v>
      </c>
      <c r="C74" s="156" t="str">
        <f>TEXT(DATE(Calendar4Year,Calendar4MonthOption+1,1),"mmmm")</f>
        <v>December</v>
      </c>
      <c r="D74" s="156"/>
      <c r="E74" s="44"/>
      <c r="F74" s="45"/>
      <c r="G74" s="45"/>
      <c r="H74" s="46"/>
    </row>
    <row r="75" spans="2:8" ht="9" customHeight="1" x14ac:dyDescent="0.3"/>
    <row r="76" spans="2:8" s="6" customFormat="1" ht="24" customHeight="1" x14ac:dyDescent="0.35">
      <c r="B76" s="49" t="str">
        <f t="shared" ref="B76:G76" si="3">TEXT(B77,"dddd")</f>
        <v>Sunday</v>
      </c>
      <c r="C76" s="50" t="str">
        <f t="shared" si="3"/>
        <v>Monday</v>
      </c>
      <c r="D76" s="49" t="str">
        <f t="shared" si="3"/>
        <v>Tuesday</v>
      </c>
      <c r="E76" s="50" t="str">
        <f t="shared" si="3"/>
        <v>Wednesday</v>
      </c>
      <c r="F76" s="49" t="str">
        <f t="shared" si="3"/>
        <v>Thursday</v>
      </c>
      <c r="G76" s="50" t="str">
        <f t="shared" si="3"/>
        <v>Friday</v>
      </c>
      <c r="H76" s="49" t="str">
        <f>TEXT(H77,"dddd")</f>
        <v>Saturday</v>
      </c>
    </row>
    <row r="77" spans="2:8" s="9" customFormat="1" ht="24" customHeight="1" x14ac:dyDescent="0.45">
      <c r="B77" s="31">
        <f t="array" ref="B77:H77">Days+1+DATE(Calendar5Year,Calendar5MonthOption,1)-WEEKDAY(DATE(Calendar5Year,Calendar5MonthOption,1),WeekdayOption)</f>
        <v>46355</v>
      </c>
      <c r="C77" s="29">
        <v>46356</v>
      </c>
      <c r="D77" s="29">
        <v>46357</v>
      </c>
      <c r="E77" s="29">
        <v>46358</v>
      </c>
      <c r="F77" s="29">
        <v>46359</v>
      </c>
      <c r="G77" s="29">
        <v>46360</v>
      </c>
      <c r="H77" s="31">
        <v>46361</v>
      </c>
    </row>
    <row r="78" spans="2:8" s="8" customFormat="1" ht="51" customHeight="1" x14ac:dyDescent="0.35">
      <c r="B78" s="55"/>
      <c r="C78" s="55"/>
      <c r="D78" s="97"/>
      <c r="E78" s="97"/>
      <c r="F78" s="97"/>
      <c r="G78" s="97"/>
      <c r="H78" s="55"/>
    </row>
    <row r="79" spans="2:8" s="9" customFormat="1" ht="24" customHeight="1" x14ac:dyDescent="0.45">
      <c r="B79" s="32">
        <f t="array" ref="B79:H79">Days+8+DATE(Calendar5Year,Calendar5MonthOption,1)-WEEKDAY(DATE(Calendar5Year,Calendar5MonthOption,1),WeekdayOption)</f>
        <v>46362</v>
      </c>
      <c r="C79" s="30">
        <v>46363</v>
      </c>
      <c r="D79" s="30">
        <v>46364</v>
      </c>
      <c r="E79" s="30">
        <v>46365</v>
      </c>
      <c r="F79" s="30">
        <v>46366</v>
      </c>
      <c r="G79" s="30">
        <v>46367</v>
      </c>
      <c r="H79" s="32">
        <v>46368</v>
      </c>
    </row>
    <row r="80" spans="2:8" s="8" customFormat="1" ht="51" customHeight="1" x14ac:dyDescent="0.35">
      <c r="B80" s="55"/>
      <c r="C80" s="97"/>
      <c r="D80" s="97"/>
      <c r="E80" s="97"/>
      <c r="F80" s="97"/>
      <c r="G80" s="97"/>
      <c r="H80" s="55"/>
    </row>
    <row r="81" spans="2:8" s="9" customFormat="1" ht="24" customHeight="1" x14ac:dyDescent="0.45">
      <c r="B81" s="32">
        <f t="array" ref="B81:H81">Days+15+DATE(Calendar5Year,Calendar5MonthOption,1)-WEEKDAY(DATE(Calendar5Year,Calendar5MonthOption,1),WeekdayOption)</f>
        <v>46369</v>
      </c>
      <c r="C81" s="30">
        <v>46370</v>
      </c>
      <c r="D81" s="30">
        <v>46371</v>
      </c>
      <c r="E81" s="30">
        <v>46372</v>
      </c>
      <c r="F81" s="30">
        <v>46373</v>
      </c>
      <c r="G81" s="30">
        <v>46374</v>
      </c>
      <c r="H81" s="32">
        <v>46375</v>
      </c>
    </row>
    <row r="82" spans="2:8" s="8" customFormat="1" ht="51" customHeight="1" x14ac:dyDescent="0.35">
      <c r="B82" s="55"/>
      <c r="C82" s="97"/>
      <c r="D82" s="97"/>
      <c r="E82" s="97"/>
      <c r="F82" s="97"/>
      <c r="G82" s="97"/>
      <c r="H82" s="55"/>
    </row>
    <row r="83" spans="2:8" s="9" customFormat="1" ht="24" customHeight="1" x14ac:dyDescent="0.45">
      <c r="B83" s="32">
        <f t="array" ref="B83:H83">Days+22+DATE(Calendar5Year,Calendar5MonthOption,1)-WEEKDAY(DATE(Calendar5Year,Calendar5MonthOption,1),WeekdayOption)</f>
        <v>46376</v>
      </c>
      <c r="C83" s="30">
        <v>46377</v>
      </c>
      <c r="D83" s="30">
        <v>46378</v>
      </c>
      <c r="E83" s="30">
        <v>46379</v>
      </c>
      <c r="F83" s="30">
        <v>46380</v>
      </c>
      <c r="G83" s="30">
        <v>46381</v>
      </c>
      <c r="H83" s="32">
        <v>46382</v>
      </c>
    </row>
    <row r="84" spans="2:8" s="8" customFormat="1" ht="51" customHeight="1" x14ac:dyDescent="0.35">
      <c r="B84" s="55"/>
      <c r="C84" s="97"/>
      <c r="D84" s="97"/>
      <c r="E84" s="97"/>
      <c r="F84" s="97"/>
      <c r="G84" s="97" t="s">
        <v>8</v>
      </c>
      <c r="H84" s="55"/>
    </row>
    <row r="85" spans="2:8" s="9" customFormat="1" ht="24" customHeight="1" x14ac:dyDescent="0.45">
      <c r="B85" s="32">
        <f t="array" ref="B85:H85">Days+29+DATE(Calendar5Year,Calendar5MonthOption,1)-WEEKDAY(DATE(Calendar5Year,Calendar5MonthOption,1),WeekdayOption)</f>
        <v>46383</v>
      </c>
      <c r="C85" s="30">
        <v>46384</v>
      </c>
      <c r="D85" s="30">
        <v>46385</v>
      </c>
      <c r="E85" s="30">
        <v>46386</v>
      </c>
      <c r="F85" s="30">
        <v>46387</v>
      </c>
      <c r="G85" s="30">
        <v>46388</v>
      </c>
      <c r="H85" s="32">
        <v>46389</v>
      </c>
    </row>
    <row r="86" spans="2:8" s="8" customFormat="1" ht="51" customHeight="1" x14ac:dyDescent="0.35">
      <c r="B86" s="55"/>
      <c r="C86" s="97" t="s">
        <v>8</v>
      </c>
      <c r="D86" s="97" t="s">
        <v>8</v>
      </c>
      <c r="E86" s="97" t="s">
        <v>8</v>
      </c>
      <c r="F86" s="97" t="s">
        <v>8</v>
      </c>
      <c r="G86" s="152"/>
      <c r="H86" s="55"/>
    </row>
    <row r="87" spans="2:8" s="9" customFormat="1" ht="24" customHeight="1" x14ac:dyDescent="0.45">
      <c r="B87" s="31">
        <f t="array" ref="B87:C87">Days+36+DATE(Calendar5Year,Calendar5MonthOption,1)-WEEKDAY(DATE(Calendar5Year,Calendar5MonthOption,1),WeekdayOption)</f>
        <v>46390</v>
      </c>
      <c r="C87" s="29">
        <v>46391</v>
      </c>
      <c r="D87" s="157" t="s">
        <v>7</v>
      </c>
      <c r="E87" s="158"/>
      <c r="F87" s="158"/>
      <c r="G87" s="158"/>
      <c r="H87" s="158"/>
    </row>
    <row r="88" spans="2:8" s="8" customFormat="1" ht="51" customHeight="1" x14ac:dyDescent="0.35">
      <c r="B88" s="81"/>
      <c r="C88" s="152"/>
      <c r="D88" s="159"/>
      <c r="E88" s="159"/>
      <c r="F88" s="159"/>
      <c r="G88" s="159"/>
      <c r="H88" s="159"/>
    </row>
    <row r="89" spans="2:8" s="10" customFormat="1" ht="9" customHeight="1" x14ac:dyDescent="0.3">
      <c r="B89" s="1"/>
      <c r="C89" s="1"/>
      <c r="D89" s="2"/>
      <c r="E89" s="2"/>
      <c r="F89" s="2"/>
      <c r="G89" s="2"/>
      <c r="H89" s="2"/>
    </row>
    <row r="90" spans="2:8" ht="95.25" customHeight="1" x14ac:dyDescent="1.1000000000000001">
      <c r="B90" s="47">
        <f>YEAR(DATE(Calendar5Year,Calendar5MonthOption+1,1))</f>
        <v>2027</v>
      </c>
      <c r="C90" s="156" t="str">
        <f>TEXT(DATE(Calendar5Year,Calendar5MonthOption+1,1),"mmmm")</f>
        <v>January</v>
      </c>
      <c r="D90" s="156"/>
      <c r="E90" s="44"/>
      <c r="F90" s="45"/>
      <c r="G90" s="45"/>
      <c r="H90" s="46"/>
    </row>
    <row r="91" spans="2:8" ht="9" customHeight="1" x14ac:dyDescent="0.3"/>
    <row r="92" spans="2:8" s="6" customFormat="1" ht="24" customHeight="1" x14ac:dyDescent="0.35">
      <c r="B92" s="49" t="str">
        <f t="shared" ref="B92:H92" si="4">TEXT(B93,"dddd")</f>
        <v>Sunday</v>
      </c>
      <c r="C92" s="50" t="str">
        <f t="shared" si="4"/>
        <v>Monday</v>
      </c>
      <c r="D92" s="49" t="str">
        <f t="shared" si="4"/>
        <v>Tuesday</v>
      </c>
      <c r="E92" s="50" t="str">
        <f t="shared" si="4"/>
        <v>Wednesday</v>
      </c>
      <c r="F92" s="49" t="str">
        <f t="shared" si="4"/>
        <v>Thursday</v>
      </c>
      <c r="G92" s="50" t="str">
        <f t="shared" si="4"/>
        <v>Friday</v>
      </c>
      <c r="H92" s="49" t="str">
        <f t="shared" si="4"/>
        <v>Saturday</v>
      </c>
    </row>
    <row r="93" spans="2:8" s="9" customFormat="1" ht="24" customHeight="1" x14ac:dyDescent="0.45">
      <c r="B93" s="31">
        <f t="array" ref="B93:H93">Days+1+DATE(Calendar6Year,Calendar6MonthOption,1)-WEEKDAY(DATE(Calendar6Year,Calendar6MonthOption,1),WeekdayOption)</f>
        <v>46383</v>
      </c>
      <c r="C93" s="29">
        <v>46384</v>
      </c>
      <c r="D93" s="29">
        <v>46385</v>
      </c>
      <c r="E93" s="29">
        <v>46386</v>
      </c>
      <c r="F93" s="29">
        <v>46387</v>
      </c>
      <c r="G93" s="29">
        <v>46388</v>
      </c>
      <c r="H93" s="31">
        <v>46389</v>
      </c>
    </row>
    <row r="94" spans="2:8" s="8" customFormat="1" ht="51" customHeight="1" x14ac:dyDescent="0.35">
      <c r="B94" s="55"/>
      <c r="C94" s="152"/>
      <c r="D94" s="152"/>
      <c r="E94" s="152"/>
      <c r="F94" s="152"/>
      <c r="G94" s="97" t="s">
        <v>8</v>
      </c>
      <c r="H94" s="55"/>
    </row>
    <row r="95" spans="2:8" s="9" customFormat="1" ht="24" customHeight="1" x14ac:dyDescent="0.45">
      <c r="B95" s="32">
        <f t="array" ref="B95:H95">Days+8+DATE(Calendar6Year,Calendar6MonthOption,1)-WEEKDAY(DATE(Calendar6Year,Calendar6MonthOption,1),WeekdayOption)</f>
        <v>46390</v>
      </c>
      <c r="C95" s="30">
        <v>46391</v>
      </c>
      <c r="D95" s="30">
        <v>46392</v>
      </c>
      <c r="E95" s="30">
        <v>46393</v>
      </c>
      <c r="F95" s="30">
        <v>46394</v>
      </c>
      <c r="G95" s="30">
        <v>46395</v>
      </c>
      <c r="H95" s="32">
        <v>46396</v>
      </c>
    </row>
    <row r="96" spans="2:8" s="8" customFormat="1" ht="51" customHeight="1" x14ac:dyDescent="0.35">
      <c r="B96" s="55"/>
      <c r="C96" s="97"/>
      <c r="D96" s="97"/>
      <c r="E96" s="97"/>
      <c r="F96" s="97"/>
      <c r="G96" s="97"/>
      <c r="H96" s="55"/>
    </row>
    <row r="97" spans="2:8" s="9" customFormat="1" ht="24" customHeight="1" x14ac:dyDescent="0.45">
      <c r="B97" s="32">
        <f t="array" ref="B97:H97">Days+15+DATE(Calendar6Year,Calendar6MonthOption,1)-WEEKDAY(DATE(Calendar6Year,Calendar6MonthOption,1),WeekdayOption)</f>
        <v>46397</v>
      </c>
      <c r="C97" s="30">
        <v>46398</v>
      </c>
      <c r="D97" s="30">
        <v>46399</v>
      </c>
      <c r="E97" s="30">
        <v>46400</v>
      </c>
      <c r="F97" s="30">
        <v>46401</v>
      </c>
      <c r="G97" s="30">
        <v>46402</v>
      </c>
      <c r="H97" s="32">
        <v>46403</v>
      </c>
    </row>
    <row r="98" spans="2:8" s="8" customFormat="1" ht="51" customHeight="1" x14ac:dyDescent="0.35">
      <c r="B98" s="55"/>
      <c r="C98" s="97"/>
      <c r="D98" s="97"/>
      <c r="E98" s="97"/>
      <c r="F98" s="97"/>
      <c r="G98" s="97"/>
      <c r="H98" s="55"/>
    </row>
    <row r="99" spans="2:8" s="9" customFormat="1" ht="24" customHeight="1" x14ac:dyDescent="0.45">
      <c r="B99" s="32">
        <f t="array" ref="B99:H99">Days+22+DATE(Calendar6Year,Calendar6MonthOption,1)-WEEKDAY(DATE(Calendar6Year,Calendar6MonthOption,1),WeekdayOption)</f>
        <v>46404</v>
      </c>
      <c r="C99" s="30">
        <v>46405</v>
      </c>
      <c r="D99" s="30">
        <v>46406</v>
      </c>
      <c r="E99" s="30">
        <v>46407</v>
      </c>
      <c r="F99" s="30">
        <v>46408</v>
      </c>
      <c r="G99" s="30">
        <v>46409</v>
      </c>
      <c r="H99" s="32">
        <v>46410</v>
      </c>
    </row>
    <row r="100" spans="2:8" s="8" customFormat="1" ht="51" customHeight="1" x14ac:dyDescent="0.35">
      <c r="B100" s="55"/>
      <c r="C100" s="97"/>
      <c r="D100" s="97"/>
      <c r="E100" s="97"/>
      <c r="F100" s="97"/>
      <c r="G100" s="97"/>
      <c r="H100" s="55"/>
    </row>
    <row r="101" spans="2:8" s="9" customFormat="1" ht="24" customHeight="1" x14ac:dyDescent="0.45">
      <c r="B101" s="32">
        <f t="array" ref="B101:H101">Days+29+DATE(Calendar6Year,Calendar6MonthOption,1)-WEEKDAY(DATE(Calendar6Year,Calendar6MonthOption,1),WeekdayOption)</f>
        <v>46411</v>
      </c>
      <c r="C101" s="30">
        <v>46412</v>
      </c>
      <c r="D101" s="30">
        <v>46413</v>
      </c>
      <c r="E101" s="30">
        <v>46414</v>
      </c>
      <c r="F101" s="30">
        <v>46415</v>
      </c>
      <c r="G101" s="30">
        <v>46416</v>
      </c>
      <c r="H101" s="32">
        <v>46417</v>
      </c>
    </row>
    <row r="102" spans="2:8" s="8" customFormat="1" ht="51" customHeight="1" x14ac:dyDescent="0.35">
      <c r="B102" s="55"/>
      <c r="C102" s="97"/>
      <c r="D102" s="97"/>
      <c r="E102" s="97"/>
      <c r="F102" s="97"/>
      <c r="G102" s="97"/>
      <c r="H102" s="55"/>
    </row>
    <row r="103" spans="2:8" s="9" customFormat="1" ht="24" customHeight="1" x14ac:dyDescent="0.45">
      <c r="B103" s="31">
        <f t="array" ref="B103:C103">Days+36+DATE(Calendar6Year,Calendar6MonthOption,1)-WEEKDAY(DATE(Calendar6Year,Calendar6MonthOption,1),WeekdayOption)</f>
        <v>46418</v>
      </c>
      <c r="C103" s="29">
        <v>46419</v>
      </c>
      <c r="D103" s="157" t="s">
        <v>7</v>
      </c>
      <c r="E103" s="158"/>
      <c r="F103" s="158"/>
      <c r="G103" s="158"/>
      <c r="H103" s="158"/>
    </row>
    <row r="104" spans="2:8" s="8" customFormat="1" ht="51" customHeight="1" x14ac:dyDescent="0.35">
      <c r="B104" s="81"/>
      <c r="C104" s="152"/>
      <c r="D104" s="159"/>
      <c r="E104" s="159"/>
      <c r="F104" s="159"/>
      <c r="G104" s="159"/>
      <c r="H104" s="159"/>
    </row>
    <row r="105" spans="2:8" s="10" customFormat="1" ht="9" customHeight="1" x14ac:dyDescent="0.3">
      <c r="B105" s="1"/>
      <c r="C105" s="1"/>
      <c r="D105" s="2"/>
      <c r="E105" s="2"/>
      <c r="F105" s="2"/>
      <c r="G105" s="2"/>
      <c r="H105" s="2"/>
    </row>
    <row r="106" spans="2:8" ht="95.25" customHeight="1" x14ac:dyDescent="1.1000000000000001">
      <c r="B106" s="47">
        <f>YEAR(DATE(Calendar6Year,Calendar6MonthOption+1,1))</f>
        <v>2027</v>
      </c>
      <c r="C106" s="156" t="str">
        <f>TEXT(DATE(Calendar6Year,Calendar6MonthOption+1,1),"mmmm")</f>
        <v>February</v>
      </c>
      <c r="D106" s="156"/>
      <c r="E106" s="44"/>
      <c r="F106" s="45"/>
      <c r="G106" s="45"/>
      <c r="H106" s="46"/>
    </row>
    <row r="107" spans="2:8" ht="9" customHeight="1" x14ac:dyDescent="0.3"/>
    <row r="108" spans="2:8" s="6" customFormat="1" ht="24" customHeight="1" x14ac:dyDescent="0.35">
      <c r="B108" s="49" t="str">
        <f t="shared" ref="B108:H108" si="5">TEXT(B109,"dddd")</f>
        <v>Sunday</v>
      </c>
      <c r="C108" s="50" t="str">
        <f t="shared" si="5"/>
        <v>Monday</v>
      </c>
      <c r="D108" s="49" t="str">
        <f t="shared" si="5"/>
        <v>Tuesday</v>
      </c>
      <c r="E108" s="50" t="str">
        <f t="shared" si="5"/>
        <v>Wednesday</v>
      </c>
      <c r="F108" s="49" t="str">
        <f t="shared" si="5"/>
        <v>Thursday</v>
      </c>
      <c r="G108" s="50" t="str">
        <f t="shared" si="5"/>
        <v>Friday</v>
      </c>
      <c r="H108" s="49" t="str">
        <f t="shared" si="5"/>
        <v>Saturday</v>
      </c>
    </row>
    <row r="109" spans="2:8" s="9" customFormat="1" ht="24" customHeight="1" x14ac:dyDescent="0.45">
      <c r="B109" s="3">
        <f t="array" ref="B109:H109">Days+1+DATE(Calendar7Year,Calendar7MonthOption,1)-WEEKDAY(DATE(Calendar7Year,Calendar7MonthOption,1),WeekdayOption)</f>
        <v>46418</v>
      </c>
      <c r="C109" s="29">
        <v>46419</v>
      </c>
      <c r="D109" s="29">
        <v>46420</v>
      </c>
      <c r="E109" s="29">
        <v>46421</v>
      </c>
      <c r="F109" s="29">
        <v>46422</v>
      </c>
      <c r="G109" s="29">
        <v>46423</v>
      </c>
      <c r="H109" s="31">
        <v>46424</v>
      </c>
    </row>
    <row r="110" spans="2:8" s="8" customFormat="1" ht="51" customHeight="1" x14ac:dyDescent="0.35">
      <c r="B110" s="81"/>
      <c r="C110" s="97"/>
      <c r="D110" s="97"/>
      <c r="E110" s="97"/>
      <c r="F110" s="97"/>
      <c r="G110" s="97"/>
      <c r="H110" s="81"/>
    </row>
    <row r="111" spans="2:8" s="9" customFormat="1" ht="24" customHeight="1" x14ac:dyDescent="0.45">
      <c r="B111" s="32">
        <f t="array" ref="B111:H111">Days+8+DATE(Calendar7Year,Calendar7MonthOption,1)-WEEKDAY(DATE(Calendar7Year,Calendar7MonthOption,1),WeekdayOption)</f>
        <v>46425</v>
      </c>
      <c r="C111" s="30">
        <v>46426</v>
      </c>
      <c r="D111" s="30">
        <v>46427</v>
      </c>
      <c r="E111" s="30">
        <v>46428</v>
      </c>
      <c r="F111" s="30">
        <v>46429</v>
      </c>
      <c r="G111" s="30">
        <v>46430</v>
      </c>
      <c r="H111" s="32">
        <v>46431</v>
      </c>
    </row>
    <row r="112" spans="2:8" s="8" customFormat="1" ht="51" customHeight="1" x14ac:dyDescent="0.35">
      <c r="B112" s="55"/>
      <c r="C112" s="97"/>
      <c r="D112" s="97"/>
      <c r="E112" s="97"/>
      <c r="F112" s="97"/>
      <c r="G112" s="97"/>
      <c r="H112" s="55"/>
    </row>
    <row r="113" spans="2:8" s="9" customFormat="1" ht="24" customHeight="1" x14ac:dyDescent="0.45">
      <c r="B113" s="32">
        <f t="array" ref="B113:H113">Days+15+DATE(Calendar7Year,Calendar7MonthOption,1)-WEEKDAY(DATE(Calendar7Year,Calendar7MonthOption,1),WeekdayOption)</f>
        <v>46432</v>
      </c>
      <c r="C113" s="30">
        <v>46433</v>
      </c>
      <c r="D113" s="30">
        <v>46434</v>
      </c>
      <c r="E113" s="30">
        <v>46435</v>
      </c>
      <c r="F113" s="30">
        <v>46436</v>
      </c>
      <c r="G113" s="30">
        <v>46437</v>
      </c>
      <c r="H113" s="32">
        <v>46438</v>
      </c>
    </row>
    <row r="114" spans="2:8" s="8" customFormat="1" ht="51" customHeight="1" x14ac:dyDescent="0.35">
      <c r="B114" s="55"/>
      <c r="C114" s="97" t="s">
        <v>8</v>
      </c>
      <c r="D114" s="97"/>
      <c r="E114" s="97"/>
      <c r="F114" s="97"/>
      <c r="G114" s="97"/>
      <c r="H114" s="55"/>
    </row>
    <row r="115" spans="2:8" s="9" customFormat="1" ht="24" customHeight="1" x14ac:dyDescent="0.45">
      <c r="B115" s="32">
        <f t="array" ref="B115:H115">Days+22+DATE(Calendar7Year,Calendar7MonthOption,1)-WEEKDAY(DATE(Calendar7Year,Calendar7MonthOption,1),WeekdayOption)</f>
        <v>46439</v>
      </c>
      <c r="C115" s="30">
        <v>46440</v>
      </c>
      <c r="D115" s="30">
        <v>46441</v>
      </c>
      <c r="E115" s="30">
        <v>46442</v>
      </c>
      <c r="F115" s="30">
        <v>46443</v>
      </c>
      <c r="G115" s="30">
        <v>46444</v>
      </c>
      <c r="H115" s="32">
        <v>46445</v>
      </c>
    </row>
    <row r="116" spans="2:8" s="8" customFormat="1" ht="51" customHeight="1" x14ac:dyDescent="0.35">
      <c r="B116" s="55"/>
      <c r="C116" s="97"/>
      <c r="D116" s="97"/>
      <c r="E116" s="97"/>
      <c r="F116" s="97"/>
      <c r="G116" s="97"/>
      <c r="H116" s="55"/>
    </row>
    <row r="117" spans="2:8" s="9" customFormat="1" ht="24" customHeight="1" x14ac:dyDescent="0.45">
      <c r="B117" s="32">
        <f t="array" ref="B117:H117">Days+29+DATE(Calendar7Year,Calendar7MonthOption,1)-WEEKDAY(DATE(Calendar7Year,Calendar7MonthOption,1),WeekdayOption)</f>
        <v>46446</v>
      </c>
      <c r="C117" s="30">
        <v>46447</v>
      </c>
      <c r="D117" s="30">
        <v>46448</v>
      </c>
      <c r="E117" s="30">
        <v>46449</v>
      </c>
      <c r="F117" s="30">
        <v>46450</v>
      </c>
      <c r="G117" s="30">
        <v>46451</v>
      </c>
      <c r="H117" s="32">
        <v>46452</v>
      </c>
    </row>
    <row r="118" spans="2:8" s="8" customFormat="1" ht="51" customHeight="1" x14ac:dyDescent="0.35">
      <c r="B118" s="55"/>
      <c r="C118" s="55"/>
      <c r="D118" s="55"/>
      <c r="E118" s="55"/>
      <c r="F118" s="55"/>
      <c r="G118" s="55"/>
      <c r="H118" s="55"/>
    </row>
    <row r="119" spans="2:8" s="9" customFormat="1" ht="24" customHeight="1" x14ac:dyDescent="0.45">
      <c r="B119" s="31">
        <f t="array" ref="B119:C119">Days+36+DATE(Calendar7Year,Calendar7MonthOption,1)-WEEKDAY(DATE(Calendar7Year,Calendar7MonthOption,1),WeekdayOption)</f>
        <v>46453</v>
      </c>
      <c r="C119" s="29">
        <v>46454</v>
      </c>
      <c r="D119" s="157" t="s">
        <v>7</v>
      </c>
      <c r="E119" s="158"/>
      <c r="F119" s="158"/>
      <c r="G119" s="158"/>
      <c r="H119" s="158"/>
    </row>
    <row r="120" spans="2:8" s="8" customFormat="1" ht="51" customHeight="1" x14ac:dyDescent="0.35">
      <c r="B120" s="81"/>
      <c r="C120" s="152"/>
      <c r="D120" s="159"/>
      <c r="E120" s="159"/>
      <c r="F120" s="159"/>
      <c r="G120" s="159"/>
      <c r="H120" s="159"/>
    </row>
    <row r="121" spans="2:8" s="10" customFormat="1" ht="9" customHeight="1" x14ac:dyDescent="0.3">
      <c r="B121" s="1"/>
      <c r="C121" s="1"/>
      <c r="D121" s="2"/>
      <c r="E121" s="2"/>
      <c r="F121" s="2"/>
      <c r="G121" s="2"/>
      <c r="H121" s="2"/>
    </row>
    <row r="122" spans="2:8" ht="95.25" customHeight="1" x14ac:dyDescent="1.1000000000000001">
      <c r="B122" s="47">
        <f>YEAR(DATE(Calendar7Year,Calendar7MonthOption+1,1))</f>
        <v>2027</v>
      </c>
      <c r="C122" s="156" t="str">
        <f>TEXT(DATE(Calendar7Year,Calendar7MonthOption+1,1),"mmmm")</f>
        <v>March</v>
      </c>
      <c r="D122" s="156"/>
      <c r="E122" s="44"/>
      <c r="F122" s="45"/>
      <c r="G122" s="45"/>
      <c r="H122" s="46"/>
    </row>
    <row r="123" spans="2:8" ht="9" customHeight="1" x14ac:dyDescent="0.3"/>
    <row r="124" spans="2:8" s="6" customFormat="1" ht="24" customHeight="1" x14ac:dyDescent="0.35">
      <c r="B124" s="49" t="str">
        <f t="shared" ref="B124:H124" si="6">TEXT(B125,"dddd")</f>
        <v>Sunday</v>
      </c>
      <c r="C124" s="50" t="str">
        <f t="shared" si="6"/>
        <v>Monday</v>
      </c>
      <c r="D124" s="49" t="str">
        <f t="shared" si="6"/>
        <v>Tuesday</v>
      </c>
      <c r="E124" s="50" t="str">
        <f t="shared" si="6"/>
        <v>Wednesday</v>
      </c>
      <c r="F124" s="49" t="str">
        <f t="shared" si="6"/>
        <v>Thursday</v>
      </c>
      <c r="G124" s="50" t="str">
        <f t="shared" si="6"/>
        <v>Friday</v>
      </c>
      <c r="H124" s="49" t="str">
        <f t="shared" si="6"/>
        <v>Saturday</v>
      </c>
    </row>
    <row r="125" spans="2:8" s="9" customFormat="1" ht="24" customHeight="1" x14ac:dyDescent="0.45">
      <c r="B125" s="33">
        <f t="array" ref="B125:H125">Days+1+DATE(Calendar8Year,Calendar8MonthOption,1)-WEEKDAY(DATE(Calendar8Year,Calendar8MonthOption,1),WeekdayOption)</f>
        <v>46446</v>
      </c>
      <c r="C125" s="12">
        <v>46447</v>
      </c>
      <c r="D125" s="12">
        <v>46448</v>
      </c>
      <c r="E125" s="12">
        <v>46449</v>
      </c>
      <c r="F125" s="12">
        <v>46450</v>
      </c>
      <c r="G125" s="12">
        <v>46451</v>
      </c>
      <c r="H125" s="35">
        <v>46452</v>
      </c>
    </row>
    <row r="126" spans="2:8" s="8" customFormat="1" ht="51" customHeight="1" x14ac:dyDescent="0.35">
      <c r="B126" s="83"/>
      <c r="C126" s="97"/>
      <c r="D126" s="97"/>
      <c r="E126" s="97"/>
      <c r="F126" s="97"/>
      <c r="G126" s="97"/>
      <c r="H126" s="84"/>
    </row>
    <row r="127" spans="2:8" s="9" customFormat="1" ht="24" customHeight="1" x14ac:dyDescent="0.45">
      <c r="B127" s="34">
        <f t="array" ref="B127:H127">Days+8+DATE(Calendar8Year,Calendar8MonthOption,1)-WEEKDAY(DATE(Calendar8Year,Calendar8MonthOption,1),WeekdayOption)</f>
        <v>46453</v>
      </c>
      <c r="C127" s="11">
        <v>46454</v>
      </c>
      <c r="D127" s="11">
        <v>46455</v>
      </c>
      <c r="E127" s="11">
        <v>46456</v>
      </c>
      <c r="F127" s="11">
        <v>46457</v>
      </c>
      <c r="G127" s="11">
        <v>46458</v>
      </c>
      <c r="H127" s="36">
        <v>46459</v>
      </c>
    </row>
    <row r="128" spans="2:8" s="8" customFormat="1" ht="51" customHeight="1" x14ac:dyDescent="0.35">
      <c r="B128" s="83"/>
      <c r="C128" s="97"/>
      <c r="D128" s="97"/>
      <c r="E128" s="97"/>
      <c r="F128" s="97"/>
      <c r="G128" s="97"/>
      <c r="H128" s="84"/>
    </row>
    <row r="129" spans="2:8" s="9" customFormat="1" ht="24" customHeight="1" x14ac:dyDescent="0.45">
      <c r="B129" s="34">
        <f t="array" ref="B129:H129">Days+15+DATE(Calendar8Year,Calendar8MonthOption,1)-WEEKDAY(DATE(Calendar8Year,Calendar8MonthOption,1),WeekdayOption)</f>
        <v>46460</v>
      </c>
      <c r="C129" s="11">
        <v>46461</v>
      </c>
      <c r="D129" s="11">
        <v>46462</v>
      </c>
      <c r="E129" s="11">
        <v>46463</v>
      </c>
      <c r="F129" s="11">
        <v>46464</v>
      </c>
      <c r="G129" s="11">
        <v>46465</v>
      </c>
      <c r="H129" s="36">
        <v>46466</v>
      </c>
    </row>
    <row r="130" spans="2:8" s="8" customFormat="1" ht="51" customHeight="1" x14ac:dyDescent="0.35">
      <c r="B130" s="83"/>
      <c r="C130" s="97"/>
      <c r="D130" s="97"/>
      <c r="E130" s="97"/>
      <c r="F130" s="97"/>
      <c r="G130" s="97"/>
      <c r="H130" s="84"/>
    </row>
    <row r="131" spans="2:8" s="9" customFormat="1" ht="24" customHeight="1" x14ac:dyDescent="0.45">
      <c r="B131" s="34">
        <f t="array" ref="B131:H131">Days+22+DATE(Calendar8Year,Calendar8MonthOption,1)-WEEKDAY(DATE(Calendar8Year,Calendar8MonthOption,1),WeekdayOption)</f>
        <v>46467</v>
      </c>
      <c r="C131" s="11">
        <v>46468</v>
      </c>
      <c r="D131" s="11">
        <v>46469</v>
      </c>
      <c r="E131" s="11">
        <v>46470</v>
      </c>
      <c r="F131" s="11">
        <v>46471</v>
      </c>
      <c r="G131" s="11">
        <v>46472</v>
      </c>
      <c r="H131" s="36">
        <v>46473</v>
      </c>
    </row>
    <row r="132" spans="2:8" s="8" customFormat="1" ht="51" customHeight="1" x14ac:dyDescent="0.35">
      <c r="B132" s="83"/>
      <c r="C132" s="97"/>
      <c r="D132" s="97"/>
      <c r="E132" s="97"/>
      <c r="F132" s="97"/>
      <c r="G132" s="97" t="s">
        <v>8</v>
      </c>
      <c r="H132" s="84"/>
    </row>
    <row r="133" spans="2:8" s="9" customFormat="1" ht="24" customHeight="1" x14ac:dyDescent="0.45">
      <c r="B133" s="34">
        <f t="array" ref="B133:H133">Days+29+DATE(Calendar8Year,Calendar8MonthOption,1)-WEEKDAY(DATE(Calendar8Year,Calendar8MonthOption,1),WeekdayOption)</f>
        <v>46474</v>
      </c>
      <c r="C133" s="11">
        <v>46475</v>
      </c>
      <c r="D133" s="11">
        <v>46476</v>
      </c>
      <c r="E133" s="11">
        <v>46477</v>
      </c>
      <c r="F133" s="11">
        <v>46478</v>
      </c>
      <c r="G133" s="11">
        <v>46479</v>
      </c>
      <c r="H133" s="36">
        <v>46480</v>
      </c>
    </row>
    <row r="134" spans="2:8" s="8" customFormat="1" ht="51" customHeight="1" x14ac:dyDescent="0.35">
      <c r="B134" s="83"/>
      <c r="C134" s="97" t="s">
        <v>8</v>
      </c>
      <c r="D134" s="97"/>
      <c r="E134" s="97"/>
      <c r="F134" s="85"/>
      <c r="G134" s="85"/>
      <c r="H134" s="85"/>
    </row>
    <row r="135" spans="2:8" s="9" customFormat="1" ht="24" customHeight="1" x14ac:dyDescent="0.45">
      <c r="B135" s="34">
        <f t="array" ref="B135:C135">Days+36+DATE(Calendar8Year,Calendar8MonthOption,1)-WEEKDAY(DATE(Calendar8Year,Calendar8MonthOption,1),WeekdayOption)</f>
        <v>46481</v>
      </c>
      <c r="C135" s="11">
        <v>46482</v>
      </c>
      <c r="D135" s="164" t="s">
        <v>7</v>
      </c>
      <c r="E135" s="164"/>
      <c r="F135" s="164"/>
      <c r="G135" s="164"/>
      <c r="H135" s="164"/>
    </row>
    <row r="136" spans="2:8" s="8" customFormat="1" ht="51" customHeight="1" x14ac:dyDescent="0.35">
      <c r="B136" s="83"/>
      <c r="C136" s="85"/>
      <c r="D136" s="159"/>
      <c r="E136" s="159"/>
      <c r="F136" s="159"/>
      <c r="G136" s="159"/>
      <c r="H136" s="159"/>
    </row>
    <row r="137" spans="2:8" s="10" customFormat="1" ht="9" customHeight="1" x14ac:dyDescent="0.3">
      <c r="B137" s="1"/>
      <c r="C137" s="1"/>
      <c r="D137" s="2"/>
      <c r="E137" s="2"/>
      <c r="F137" s="2"/>
      <c r="G137" s="2"/>
      <c r="H137" s="2"/>
    </row>
    <row r="138" spans="2:8" ht="95.25" customHeight="1" x14ac:dyDescent="1.1000000000000001">
      <c r="B138" s="47">
        <f>YEAR(DATE(Calendar7Year,Calendar7MonthOption+1,1))</f>
        <v>2027</v>
      </c>
      <c r="C138" s="156" t="str">
        <f>TEXT(DATE(Calendar8Year,Calendar8MonthOption+1,1),"mmmm")</f>
        <v>April</v>
      </c>
      <c r="D138" s="156"/>
      <c r="E138" s="44"/>
      <c r="F138" s="45"/>
      <c r="G138" s="45"/>
      <c r="H138" s="46"/>
    </row>
    <row r="139" spans="2:8" ht="9" customHeight="1" x14ac:dyDescent="0.3"/>
    <row r="140" spans="2:8" s="6" customFormat="1" ht="24" customHeight="1" x14ac:dyDescent="0.35">
      <c r="B140" s="49" t="str">
        <f t="shared" ref="B140:H140" si="7">TEXT(B141,"dddd")</f>
        <v>Sunday</v>
      </c>
      <c r="C140" s="50" t="str">
        <f t="shared" si="7"/>
        <v>Monday</v>
      </c>
      <c r="D140" s="49" t="str">
        <f t="shared" si="7"/>
        <v>Tuesday</v>
      </c>
      <c r="E140" s="50" t="str">
        <f t="shared" si="7"/>
        <v>Wednesday</v>
      </c>
      <c r="F140" s="49" t="str">
        <f t="shared" si="7"/>
        <v>Thursday</v>
      </c>
      <c r="G140" s="50" t="str">
        <f t="shared" si="7"/>
        <v>Friday</v>
      </c>
      <c r="H140" s="49" t="str">
        <f t="shared" si="7"/>
        <v>Saturday</v>
      </c>
    </row>
    <row r="141" spans="2:8" s="9" customFormat="1" ht="24" customHeight="1" x14ac:dyDescent="0.45">
      <c r="B141" s="31">
        <f t="array" ref="B141:H141">Days+1+DATE(Calendar9Year,Calendar9MonthOption,1)-WEEKDAY(DATE(Calendar9Year,Calendar9MonthOption,1),WeekdayOption)</f>
        <v>46474</v>
      </c>
      <c r="C141" s="29">
        <v>46475</v>
      </c>
      <c r="D141" s="29">
        <v>46476</v>
      </c>
      <c r="E141" s="29">
        <v>46477</v>
      </c>
      <c r="F141" s="29">
        <v>46478</v>
      </c>
      <c r="G141" s="29">
        <v>46479</v>
      </c>
      <c r="H141" s="31">
        <v>46480</v>
      </c>
    </row>
    <row r="142" spans="2:8" s="8" customFormat="1" ht="51" customHeight="1" x14ac:dyDescent="0.35">
      <c r="B142" s="81"/>
      <c r="C142" s="152"/>
      <c r="D142" s="152"/>
      <c r="E142" s="152"/>
      <c r="F142" s="97"/>
      <c r="G142" s="97"/>
      <c r="H142" s="81"/>
    </row>
    <row r="143" spans="2:8" s="9" customFormat="1" ht="24" customHeight="1" x14ac:dyDescent="0.45">
      <c r="B143" s="32">
        <f t="array" ref="B143:H143">Days+8+DATE(Calendar9Year,Calendar9MonthOption,1)-WEEKDAY(DATE(Calendar9Year,Calendar9MonthOption,1),WeekdayOption)</f>
        <v>46481</v>
      </c>
      <c r="C143" s="30">
        <v>46482</v>
      </c>
      <c r="D143" s="30">
        <v>46483</v>
      </c>
      <c r="E143" s="30">
        <v>46484</v>
      </c>
      <c r="F143" s="30">
        <v>46485</v>
      </c>
      <c r="G143" s="30">
        <v>46486</v>
      </c>
      <c r="H143" s="32">
        <v>46487</v>
      </c>
    </row>
    <row r="144" spans="2:8" s="8" customFormat="1" ht="51" customHeight="1" x14ac:dyDescent="0.35">
      <c r="B144" s="55"/>
      <c r="C144" s="97"/>
      <c r="D144" s="97"/>
      <c r="E144" s="97"/>
      <c r="F144" s="97"/>
      <c r="G144" s="97"/>
      <c r="H144" s="55"/>
    </row>
    <row r="145" spans="2:8" s="9" customFormat="1" ht="24" customHeight="1" x14ac:dyDescent="0.45">
      <c r="B145" s="32">
        <f t="array" ref="B145:H145">Days+15+DATE(Calendar9Year,Calendar9MonthOption,1)-WEEKDAY(DATE(Calendar9Year,Calendar9MonthOption,1),WeekdayOption)</f>
        <v>46488</v>
      </c>
      <c r="C145" s="30">
        <v>46489</v>
      </c>
      <c r="D145" s="30">
        <v>46490</v>
      </c>
      <c r="E145" s="30">
        <v>46491</v>
      </c>
      <c r="F145" s="30">
        <v>46492</v>
      </c>
      <c r="G145" s="30">
        <v>46493</v>
      </c>
      <c r="H145" s="32">
        <v>46494</v>
      </c>
    </row>
    <row r="146" spans="2:8" s="8" customFormat="1" ht="51" customHeight="1" x14ac:dyDescent="0.35">
      <c r="B146" s="55"/>
      <c r="C146" s="97"/>
      <c r="D146" s="97"/>
      <c r="E146" s="97"/>
      <c r="F146" s="97"/>
      <c r="G146" s="97"/>
      <c r="H146" s="55"/>
    </row>
    <row r="147" spans="2:8" s="9" customFormat="1" ht="24" customHeight="1" x14ac:dyDescent="0.45">
      <c r="B147" s="32">
        <f t="array" ref="B147:H147">Days+22+DATE(Calendar9Year,Calendar9MonthOption,1)-WEEKDAY(DATE(Calendar9Year,Calendar9MonthOption,1),WeekdayOption)</f>
        <v>46495</v>
      </c>
      <c r="C147" s="30">
        <v>46496</v>
      </c>
      <c r="D147" s="30">
        <v>46497</v>
      </c>
      <c r="E147" s="30">
        <v>46498</v>
      </c>
      <c r="F147" s="30">
        <v>46499</v>
      </c>
      <c r="G147" s="30">
        <v>46500</v>
      </c>
      <c r="H147" s="32">
        <v>46501</v>
      </c>
    </row>
    <row r="148" spans="2:8" s="8" customFormat="1" ht="51" customHeight="1" x14ac:dyDescent="0.35">
      <c r="B148" s="55"/>
      <c r="C148" s="97"/>
      <c r="D148" s="97"/>
      <c r="E148" s="97"/>
      <c r="F148" s="97"/>
      <c r="G148" s="97"/>
      <c r="H148" s="55"/>
    </row>
    <row r="149" spans="2:8" s="9" customFormat="1" ht="24" customHeight="1" x14ac:dyDescent="0.45">
      <c r="B149" s="32">
        <f t="array" ref="B149:H149">Days+29+DATE(Calendar9Year,Calendar9MonthOption,1)-WEEKDAY(DATE(Calendar9Year,Calendar9MonthOption,1),WeekdayOption)</f>
        <v>46502</v>
      </c>
      <c r="C149" s="30">
        <v>46503</v>
      </c>
      <c r="D149" s="30">
        <v>46504</v>
      </c>
      <c r="E149" s="30">
        <v>46505</v>
      </c>
      <c r="F149" s="30">
        <v>46506</v>
      </c>
      <c r="G149" s="30">
        <v>46507</v>
      </c>
      <c r="H149" s="32">
        <v>46508</v>
      </c>
    </row>
    <row r="150" spans="2:8" s="8" customFormat="1" ht="51" customHeight="1" x14ac:dyDescent="0.35">
      <c r="B150" s="55"/>
      <c r="C150" s="97"/>
      <c r="D150" s="97"/>
      <c r="E150" s="97"/>
      <c r="F150" s="97"/>
      <c r="G150" s="97"/>
      <c r="H150" s="55"/>
    </row>
    <row r="151" spans="2:8" s="9" customFormat="1" ht="24" customHeight="1" x14ac:dyDescent="0.45">
      <c r="B151" s="31">
        <f t="array" ref="B151:C151">Days+36+DATE(Calendar9Year,Calendar9MonthOption,1)-WEEKDAY(DATE(Calendar9Year,Calendar9MonthOption,1),WeekdayOption)</f>
        <v>46509</v>
      </c>
      <c r="C151" s="29">
        <v>46510</v>
      </c>
      <c r="D151" s="157" t="s">
        <v>7</v>
      </c>
      <c r="E151" s="158"/>
      <c r="F151" s="158"/>
      <c r="G151" s="158"/>
      <c r="H151" s="158"/>
    </row>
    <row r="152" spans="2:8" s="8" customFormat="1" ht="51" customHeight="1" x14ac:dyDescent="0.35">
      <c r="B152" s="81"/>
      <c r="C152" s="152"/>
      <c r="D152" s="159"/>
      <c r="E152" s="159"/>
      <c r="F152" s="159"/>
      <c r="G152" s="159"/>
      <c r="H152" s="159"/>
    </row>
    <row r="153" spans="2:8" s="10" customFormat="1" ht="9" customHeight="1" x14ac:dyDescent="0.3">
      <c r="B153" s="1"/>
      <c r="C153" s="1"/>
      <c r="D153" s="2"/>
      <c r="E153" s="2"/>
      <c r="F153" s="2"/>
      <c r="G153" s="2"/>
      <c r="H153" s="2"/>
    </row>
    <row r="154" spans="2:8" ht="95.25" customHeight="1" x14ac:dyDescent="1.1000000000000001">
      <c r="B154" s="47">
        <f>YEAR(DATE(Calendar9Year,Calendar9MonthOption+1,1))</f>
        <v>2027</v>
      </c>
      <c r="C154" s="156" t="str">
        <f>TEXT(DATE(Calendar9Year,Calendar9MonthOption+1,1),"mmmm")</f>
        <v>May</v>
      </c>
      <c r="D154" s="156"/>
      <c r="E154" s="44"/>
      <c r="F154" s="45"/>
      <c r="G154" s="45"/>
      <c r="H154" s="46"/>
    </row>
    <row r="155" spans="2:8" ht="9" customHeight="1" x14ac:dyDescent="0.3"/>
    <row r="156" spans="2:8" s="6" customFormat="1" ht="24" customHeight="1" x14ac:dyDescent="0.35">
      <c r="B156" s="49" t="str">
        <f t="shared" ref="B156:H156" si="8">TEXT(B157,"dddd")</f>
        <v>Sunday</v>
      </c>
      <c r="C156" s="50" t="str">
        <f t="shared" si="8"/>
        <v>Monday</v>
      </c>
      <c r="D156" s="49" t="str">
        <f t="shared" si="8"/>
        <v>Tuesday</v>
      </c>
      <c r="E156" s="50" t="str">
        <f t="shared" si="8"/>
        <v>Wednesday</v>
      </c>
      <c r="F156" s="49" t="str">
        <f t="shared" si="8"/>
        <v>Thursday</v>
      </c>
      <c r="G156" s="50" t="str">
        <f t="shared" si="8"/>
        <v>Friday</v>
      </c>
      <c r="H156" s="49" t="str">
        <f t="shared" si="8"/>
        <v>Saturday</v>
      </c>
    </row>
    <row r="157" spans="2:8" s="9" customFormat="1" ht="24" customHeight="1" x14ac:dyDescent="0.45">
      <c r="B157" s="31">
        <f t="array" ref="B157:H157">Days+1+DATE(Calendar10Year,Calendar10MonthOption,1)-WEEKDAY(DATE(Calendar10Year,Calendar10MonthOption,1),WeekdayOption)</f>
        <v>46502</v>
      </c>
      <c r="C157" s="29">
        <v>46503</v>
      </c>
      <c r="D157" s="29">
        <v>46504</v>
      </c>
      <c r="E157" s="29">
        <v>46505</v>
      </c>
      <c r="F157" s="29">
        <v>46506</v>
      </c>
      <c r="G157" s="29">
        <v>46507</v>
      </c>
      <c r="H157" s="31">
        <v>46508</v>
      </c>
    </row>
    <row r="158" spans="2:8" s="8" customFormat="1" ht="51" customHeight="1" x14ac:dyDescent="0.35">
      <c r="B158" s="81"/>
      <c r="C158" s="152"/>
      <c r="D158" s="152"/>
      <c r="E158" s="152"/>
      <c r="F158" s="152"/>
      <c r="G158" s="152"/>
      <c r="H158" s="81"/>
    </row>
    <row r="159" spans="2:8" s="9" customFormat="1" ht="24" customHeight="1" x14ac:dyDescent="0.45">
      <c r="B159" s="32">
        <f t="array" ref="B159:H159">Days+8+DATE(Calendar10Year,Calendar10MonthOption,1)-WEEKDAY(DATE(Calendar10Year,Calendar10MonthOption,1),WeekdayOption)</f>
        <v>46509</v>
      </c>
      <c r="C159" s="30">
        <v>46510</v>
      </c>
      <c r="D159" s="30">
        <v>46511</v>
      </c>
      <c r="E159" s="30">
        <v>46512</v>
      </c>
      <c r="F159" s="30">
        <v>46513</v>
      </c>
      <c r="G159" s="30">
        <v>46514</v>
      </c>
      <c r="H159" s="32">
        <v>46515</v>
      </c>
    </row>
    <row r="160" spans="2:8" s="8" customFormat="1" ht="51" customHeight="1" x14ac:dyDescent="0.35">
      <c r="B160" s="55"/>
      <c r="C160" s="97"/>
      <c r="D160" s="97"/>
      <c r="E160" s="97"/>
      <c r="F160" s="97"/>
      <c r="G160" s="97"/>
      <c r="H160" s="55"/>
    </row>
    <row r="161" spans="2:8" s="9" customFormat="1" ht="24" customHeight="1" x14ac:dyDescent="0.45">
      <c r="B161" s="32">
        <f t="array" ref="B161:H161">Days+15+DATE(Calendar10Year,Calendar10MonthOption,1)-WEEKDAY(DATE(Calendar10Year,Calendar10MonthOption,1),WeekdayOption)</f>
        <v>46516</v>
      </c>
      <c r="C161" s="30">
        <v>46517</v>
      </c>
      <c r="D161" s="30">
        <v>46518</v>
      </c>
      <c r="E161" s="30">
        <v>46519</v>
      </c>
      <c r="F161" s="30">
        <v>46520</v>
      </c>
      <c r="G161" s="30">
        <v>46521</v>
      </c>
      <c r="H161" s="32">
        <v>46522</v>
      </c>
    </row>
    <row r="162" spans="2:8" s="8" customFormat="1" ht="51" customHeight="1" x14ac:dyDescent="0.35">
      <c r="B162" s="55"/>
      <c r="C162" s="97"/>
      <c r="D162" s="97"/>
      <c r="E162" s="97"/>
      <c r="F162" s="97"/>
      <c r="G162" s="97"/>
      <c r="H162" s="55"/>
    </row>
    <row r="163" spans="2:8" s="9" customFormat="1" ht="24.6" customHeight="1" x14ac:dyDescent="0.45">
      <c r="B163" s="32">
        <f t="array" ref="B163:H163">Days+22+DATE(Calendar10Year,Calendar10MonthOption,1)-WEEKDAY(DATE(Calendar10Year,Calendar10MonthOption,1),WeekdayOption)</f>
        <v>46523</v>
      </c>
      <c r="C163" s="30">
        <v>46524</v>
      </c>
      <c r="D163" s="30">
        <v>46525</v>
      </c>
      <c r="E163" s="30">
        <v>46526</v>
      </c>
      <c r="F163" s="30">
        <v>46527</v>
      </c>
      <c r="G163" s="30">
        <v>46528</v>
      </c>
      <c r="H163" s="32">
        <v>46529</v>
      </c>
    </row>
    <row r="164" spans="2:8" s="8" customFormat="1" ht="51" customHeight="1" x14ac:dyDescent="0.35">
      <c r="B164" s="55"/>
      <c r="C164" s="97"/>
      <c r="D164" s="97"/>
      <c r="E164" s="97"/>
      <c r="F164" s="97"/>
      <c r="G164" s="97"/>
      <c r="H164" s="55"/>
    </row>
    <row r="165" spans="2:8" s="9" customFormat="1" ht="24" customHeight="1" x14ac:dyDescent="0.45">
      <c r="B165" s="32">
        <f t="array" ref="B165:H165">Days+29+DATE(Calendar10Year,Calendar10MonthOption,1)-WEEKDAY(DATE(Calendar10Year,Calendar10MonthOption,1),WeekdayOption)</f>
        <v>46530</v>
      </c>
      <c r="C165" s="30">
        <v>46531</v>
      </c>
      <c r="D165" s="30">
        <v>46532</v>
      </c>
      <c r="E165" s="30">
        <v>46533</v>
      </c>
      <c r="F165" s="30">
        <v>46534</v>
      </c>
      <c r="G165" s="30">
        <v>46535</v>
      </c>
      <c r="H165" s="32">
        <v>46536</v>
      </c>
    </row>
    <row r="166" spans="2:8" s="8" customFormat="1" ht="51" customHeight="1" x14ac:dyDescent="0.35">
      <c r="B166" s="55"/>
      <c r="C166" s="97" t="s">
        <v>8</v>
      </c>
      <c r="D166" s="97"/>
      <c r="E166" s="97"/>
      <c r="F166" s="97"/>
      <c r="G166" s="97"/>
      <c r="H166" s="55"/>
    </row>
    <row r="167" spans="2:8" s="9" customFormat="1" ht="24" customHeight="1" x14ac:dyDescent="0.45">
      <c r="B167" s="31">
        <f t="array" ref="B167:C167">Days+36+DATE(Calendar10Year,Calendar10MonthOption,1)-WEEKDAY(DATE(Calendar10Year,Calendar10MonthOption,1),WeekdayOption)</f>
        <v>46537</v>
      </c>
      <c r="C167" s="29">
        <v>46538</v>
      </c>
      <c r="D167" s="157" t="s">
        <v>7</v>
      </c>
      <c r="E167" s="158"/>
      <c r="F167" s="158"/>
      <c r="G167" s="158"/>
      <c r="H167" s="158"/>
    </row>
    <row r="168" spans="2:8" s="8" customFormat="1" ht="51" customHeight="1" x14ac:dyDescent="0.35">
      <c r="B168" s="81"/>
      <c r="C168" s="99"/>
      <c r="D168" s="159"/>
      <c r="E168" s="159"/>
      <c r="F168" s="159"/>
      <c r="G168" s="159"/>
      <c r="H168" s="159"/>
    </row>
    <row r="169" spans="2:8" s="10" customFormat="1" ht="9" customHeight="1" x14ac:dyDescent="0.3">
      <c r="B169" s="1"/>
      <c r="C169" s="1"/>
      <c r="D169" s="2"/>
      <c r="E169" s="2"/>
      <c r="F169" s="2"/>
      <c r="G169" s="2"/>
      <c r="H169" s="2"/>
    </row>
    <row r="170" spans="2:8" ht="95.25" customHeight="1" x14ac:dyDescent="1.1000000000000001">
      <c r="B170" s="47">
        <f>YEAR(DATE(Calendar10Year,Calendar10MonthOption+1,1))</f>
        <v>2027</v>
      </c>
      <c r="C170" s="156" t="str">
        <f>TEXT(DATE(Calendar10Year,Calendar10MonthOption+1,1),"mmmm")</f>
        <v>June</v>
      </c>
      <c r="D170" s="156"/>
      <c r="E170" s="44"/>
      <c r="F170" s="45"/>
      <c r="G170" s="45"/>
      <c r="H170" s="46"/>
    </row>
    <row r="171" spans="2:8" ht="9" customHeight="1" x14ac:dyDescent="0.3"/>
    <row r="172" spans="2:8" s="6" customFormat="1" ht="24" customHeight="1" x14ac:dyDescent="0.35">
      <c r="B172" s="49" t="str">
        <f t="shared" ref="B172:H172" si="9">TEXT(B173,"dddd")</f>
        <v>Sunday</v>
      </c>
      <c r="C172" s="50" t="str">
        <f t="shared" si="9"/>
        <v>Monday</v>
      </c>
      <c r="D172" s="49" t="str">
        <f t="shared" si="9"/>
        <v>Tuesday</v>
      </c>
      <c r="E172" s="50" t="str">
        <f t="shared" si="9"/>
        <v>Wednesday</v>
      </c>
      <c r="F172" s="49" t="str">
        <f t="shared" si="9"/>
        <v>Thursday</v>
      </c>
      <c r="G172" s="50" t="str">
        <f t="shared" si="9"/>
        <v>Friday</v>
      </c>
      <c r="H172" s="49" t="str">
        <f t="shared" si="9"/>
        <v>Saturday</v>
      </c>
    </row>
    <row r="173" spans="2:8" s="9" customFormat="1" ht="24" customHeight="1" x14ac:dyDescent="0.45">
      <c r="B173" s="33">
        <f t="array" ref="B173:H173">Days+1+DATE(Calendar11Year,Calendar11MonthOption,1)-WEEKDAY(DATE(Calendar11Year,Calendar11MonthOption,1),WeekdayOption)</f>
        <v>46537</v>
      </c>
      <c r="C173" s="12">
        <v>46538</v>
      </c>
      <c r="D173" s="12">
        <v>46539</v>
      </c>
      <c r="E173" s="12">
        <v>46540</v>
      </c>
      <c r="F173" s="12">
        <v>46541</v>
      </c>
      <c r="G173" s="12">
        <v>46542</v>
      </c>
      <c r="H173" s="35">
        <v>46543</v>
      </c>
    </row>
    <row r="174" spans="2:8" s="8" customFormat="1" ht="51" customHeight="1" x14ac:dyDescent="0.35">
      <c r="B174" s="83"/>
      <c r="C174" s="97"/>
      <c r="D174" s="97"/>
      <c r="E174" s="97"/>
      <c r="F174" s="97"/>
      <c r="G174" s="97"/>
      <c r="H174" s="84"/>
    </row>
    <row r="175" spans="2:8" s="9" customFormat="1" ht="24" customHeight="1" x14ac:dyDescent="0.45">
      <c r="B175" s="34">
        <f t="array" ref="B175:H175">Days+8+DATE(Calendar11Year,Calendar11MonthOption,1)-WEEKDAY(DATE(Calendar11Year,Calendar11MonthOption,1),WeekdayOption)</f>
        <v>46544</v>
      </c>
      <c r="C175" s="11">
        <v>46545</v>
      </c>
      <c r="D175" s="11">
        <v>46546</v>
      </c>
      <c r="E175" s="11">
        <v>46547</v>
      </c>
      <c r="F175" s="11">
        <v>46548</v>
      </c>
      <c r="G175" s="11">
        <v>46549</v>
      </c>
      <c r="H175" s="36">
        <v>46550</v>
      </c>
    </row>
    <row r="176" spans="2:8" s="8" customFormat="1" ht="51" customHeight="1" x14ac:dyDescent="0.35">
      <c r="B176" s="83"/>
      <c r="C176" s="97"/>
      <c r="D176" s="97"/>
      <c r="E176" s="97"/>
      <c r="F176" s="97"/>
      <c r="G176" s="97"/>
      <c r="H176" s="84"/>
    </row>
    <row r="177" spans="2:8" s="9" customFormat="1" ht="24" customHeight="1" x14ac:dyDescent="0.45">
      <c r="B177" s="34">
        <f t="array" ref="B177:H177">Days+15+DATE(Calendar11Year,Calendar11MonthOption,1)-WEEKDAY(DATE(Calendar11Year,Calendar11MonthOption,1),WeekdayOption)</f>
        <v>46551</v>
      </c>
      <c r="C177" s="11">
        <v>46552</v>
      </c>
      <c r="D177" s="11">
        <v>46553</v>
      </c>
      <c r="E177" s="11">
        <v>46554</v>
      </c>
      <c r="F177" s="11">
        <v>46555</v>
      </c>
      <c r="G177" s="11">
        <v>46556</v>
      </c>
      <c r="H177" s="36">
        <v>46557</v>
      </c>
    </row>
    <row r="178" spans="2:8" s="8" customFormat="1" ht="51" customHeight="1" x14ac:dyDescent="0.35">
      <c r="B178" s="83"/>
      <c r="C178" s="97"/>
      <c r="D178" s="97"/>
      <c r="E178" s="97"/>
      <c r="F178" s="97"/>
      <c r="G178" s="97"/>
      <c r="H178" s="84"/>
    </row>
    <row r="179" spans="2:8" s="9" customFormat="1" ht="24" customHeight="1" x14ac:dyDescent="0.45">
      <c r="B179" s="34">
        <f t="array" ref="B179:H179">Days+22+DATE(Calendar11Year,Calendar11MonthOption,1)-WEEKDAY(DATE(Calendar11Year,Calendar11MonthOption,1),WeekdayOption)</f>
        <v>46558</v>
      </c>
      <c r="C179" s="11">
        <v>46559</v>
      </c>
      <c r="D179" s="11">
        <v>46560</v>
      </c>
      <c r="E179" s="11">
        <v>46561</v>
      </c>
      <c r="F179" s="11">
        <v>46562</v>
      </c>
      <c r="G179" s="11">
        <v>46563</v>
      </c>
      <c r="H179" s="36">
        <v>46564</v>
      </c>
    </row>
    <row r="180" spans="2:8" s="8" customFormat="1" ht="51" customHeight="1" x14ac:dyDescent="0.35">
      <c r="B180" s="83"/>
      <c r="C180" s="97"/>
      <c r="D180" s="97"/>
      <c r="E180" s="97"/>
      <c r="F180" s="97"/>
      <c r="G180" s="97"/>
      <c r="H180" s="84"/>
    </row>
    <row r="181" spans="2:8" s="9" customFormat="1" ht="24" customHeight="1" x14ac:dyDescent="0.45">
      <c r="B181" s="34">
        <f t="array" ref="B181:H181">Days+29+DATE(Calendar11Year,Calendar11MonthOption,1)-WEEKDAY(DATE(Calendar11Year,Calendar11MonthOption,1),WeekdayOption)</f>
        <v>46565</v>
      </c>
      <c r="C181" s="11">
        <v>46566</v>
      </c>
      <c r="D181" s="11">
        <v>46567</v>
      </c>
      <c r="E181" s="11">
        <v>46568</v>
      </c>
      <c r="F181" s="11">
        <v>46569</v>
      </c>
      <c r="G181" s="11">
        <v>46570</v>
      </c>
      <c r="H181" s="36">
        <v>46571</v>
      </c>
    </row>
    <row r="182" spans="2:8" s="8" customFormat="1" ht="51" customHeight="1" x14ac:dyDescent="0.35">
      <c r="B182" s="83"/>
      <c r="C182" s="97"/>
      <c r="D182" s="97"/>
      <c r="E182" s="97"/>
      <c r="F182" s="152"/>
      <c r="G182" s="152"/>
      <c r="H182" s="85"/>
    </row>
    <row r="183" spans="2:8" s="9" customFormat="1" ht="24" customHeight="1" x14ac:dyDescent="0.45">
      <c r="B183" s="34">
        <f t="array" ref="B183:C183">Days+36+DATE(Calendar11Year,Calendar11MonthOption,1)-WEEKDAY(DATE(Calendar11Year,Calendar11MonthOption,1),WeekdayOption)</f>
        <v>46572</v>
      </c>
      <c r="C183" s="11">
        <v>46573</v>
      </c>
      <c r="D183" s="164" t="s">
        <v>7</v>
      </c>
      <c r="E183" s="164"/>
      <c r="F183" s="164"/>
      <c r="G183" s="164"/>
      <c r="H183" s="164"/>
    </row>
    <row r="184" spans="2:8" s="8" customFormat="1" ht="51" customHeight="1" x14ac:dyDescent="0.35">
      <c r="B184" s="83"/>
      <c r="C184" s="152"/>
      <c r="D184" s="159"/>
      <c r="E184" s="159"/>
      <c r="F184" s="159"/>
      <c r="G184" s="159"/>
      <c r="H184" s="159"/>
    </row>
    <row r="185" spans="2:8" s="10" customFormat="1" ht="9" customHeight="1" x14ac:dyDescent="0.3">
      <c r="B185" s="1"/>
      <c r="C185" s="1"/>
      <c r="D185" s="2"/>
      <c r="E185" s="2"/>
      <c r="F185" s="2"/>
      <c r="G185" s="2"/>
      <c r="H185" s="2"/>
    </row>
    <row r="186" spans="2:8" ht="95.25" customHeight="1" x14ac:dyDescent="1.1000000000000001">
      <c r="B186" s="47">
        <f>YEAR(DATE(Calendar11Year,Calendar11MonthOption+1,1))</f>
        <v>2027</v>
      </c>
      <c r="C186" s="47" t="str">
        <f>TEXT(DATE(Calendar11Year,Calendar11MonthOption+1,1),"mmmm")</f>
        <v>July</v>
      </c>
      <c r="D186" s="48"/>
      <c r="E186" s="44"/>
      <c r="F186" s="45"/>
      <c r="G186" s="45"/>
      <c r="H186" s="46"/>
    </row>
    <row r="187" spans="2:8" ht="9" customHeight="1" x14ac:dyDescent="0.3"/>
    <row r="188" spans="2:8" s="6" customFormat="1" ht="24" customHeight="1" x14ac:dyDescent="0.35">
      <c r="B188" s="49" t="str">
        <f t="shared" ref="B188:H188" si="10">TEXT(B189,"dddd")</f>
        <v>Sunday</v>
      </c>
      <c r="C188" s="50" t="str">
        <f t="shared" si="10"/>
        <v>Monday</v>
      </c>
      <c r="D188" s="49" t="str">
        <f t="shared" si="10"/>
        <v>Tuesday</v>
      </c>
      <c r="E188" s="50" t="str">
        <f t="shared" si="10"/>
        <v>Wednesday</v>
      </c>
      <c r="F188" s="49" t="str">
        <f t="shared" si="10"/>
        <v>Thursday</v>
      </c>
      <c r="G188" s="50" t="str">
        <f t="shared" si="10"/>
        <v>Friday</v>
      </c>
      <c r="H188" s="49" t="str">
        <f t="shared" si="10"/>
        <v>Saturday</v>
      </c>
    </row>
    <row r="189" spans="2:8" s="9" customFormat="1" ht="24" customHeight="1" x14ac:dyDescent="0.45">
      <c r="B189" s="3">
        <f t="array" ref="B189:H189">Days+1+DATE(Calendar12Year,Calendar12MonthOption,1)-WEEKDAY(DATE(Calendar12Year,Calendar12MonthOption,1),WeekdayOption)</f>
        <v>46565</v>
      </c>
      <c r="C189" s="29">
        <v>46566</v>
      </c>
      <c r="D189" s="29">
        <v>46567</v>
      </c>
      <c r="E189" s="29">
        <v>46568</v>
      </c>
      <c r="F189" s="29">
        <v>46569</v>
      </c>
      <c r="G189" s="29">
        <v>46570</v>
      </c>
      <c r="H189" s="3">
        <v>46571</v>
      </c>
    </row>
    <row r="190" spans="2:8" s="8" customFormat="1" ht="51" customHeight="1" x14ac:dyDescent="0.35">
      <c r="B190" s="82"/>
      <c r="C190" s="152"/>
      <c r="D190" s="152"/>
      <c r="E190" s="152"/>
      <c r="F190" s="97"/>
      <c r="G190" s="97"/>
      <c r="H190" s="82"/>
    </row>
    <row r="191" spans="2:8" s="9" customFormat="1" ht="24" customHeight="1" x14ac:dyDescent="0.45">
      <c r="B191" s="13">
        <f t="array" ref="B191:H191">Days+8+DATE(Calendar12Year,Calendar12MonthOption,1)-WEEKDAY(DATE(Calendar12Year,Calendar12MonthOption,1),WeekdayOption)</f>
        <v>46572</v>
      </c>
      <c r="C191" s="30">
        <v>46573</v>
      </c>
      <c r="D191" s="30">
        <v>46574</v>
      </c>
      <c r="E191" s="30">
        <v>46575</v>
      </c>
      <c r="F191" s="30">
        <v>46576</v>
      </c>
      <c r="G191" s="30">
        <v>46577</v>
      </c>
      <c r="H191" s="13">
        <v>46578</v>
      </c>
    </row>
    <row r="192" spans="2:8" s="8" customFormat="1" ht="51" customHeight="1" x14ac:dyDescent="0.35">
      <c r="B192" s="86"/>
      <c r="C192" s="97"/>
      <c r="D192" s="97"/>
      <c r="E192" s="97"/>
      <c r="F192" s="97"/>
      <c r="G192" s="97"/>
      <c r="H192" s="86"/>
    </row>
    <row r="193" spans="2:8" s="9" customFormat="1" ht="24" customHeight="1" x14ac:dyDescent="0.45">
      <c r="B193" s="13">
        <f t="array" ref="B193:H193">Days+15+DATE(Calendar12Year,Calendar12MonthOption,1)-WEEKDAY(DATE(Calendar12Year,Calendar12MonthOption,1),WeekdayOption)</f>
        <v>46579</v>
      </c>
      <c r="C193" s="30">
        <v>46580</v>
      </c>
      <c r="D193" s="30">
        <v>46581</v>
      </c>
      <c r="E193" s="30">
        <v>46582</v>
      </c>
      <c r="F193" s="30">
        <v>46583</v>
      </c>
      <c r="G193" s="30">
        <v>46584</v>
      </c>
      <c r="H193" s="13">
        <v>46585</v>
      </c>
    </row>
    <row r="194" spans="2:8" s="8" customFormat="1" ht="51" customHeight="1" x14ac:dyDescent="0.35">
      <c r="B194" s="86"/>
      <c r="C194" s="97"/>
      <c r="D194" s="97"/>
      <c r="E194" s="97"/>
      <c r="F194" s="97"/>
      <c r="G194" s="97"/>
      <c r="H194" s="86"/>
    </row>
    <row r="195" spans="2:8" s="9" customFormat="1" ht="24" customHeight="1" x14ac:dyDescent="0.45">
      <c r="B195" s="13">
        <f t="array" ref="B195:H195">Days+22+DATE(Calendar12Year,Calendar12MonthOption,1)-WEEKDAY(DATE(Calendar12Year,Calendar12MonthOption,1),WeekdayOption)</f>
        <v>46586</v>
      </c>
      <c r="C195" s="30">
        <v>46587</v>
      </c>
      <c r="D195" s="30">
        <v>46588</v>
      </c>
      <c r="E195" s="30">
        <v>46589</v>
      </c>
      <c r="F195" s="30">
        <v>46590</v>
      </c>
      <c r="G195" s="30">
        <v>46591</v>
      </c>
      <c r="H195" s="13">
        <v>46592</v>
      </c>
    </row>
    <row r="196" spans="2:8" s="8" customFormat="1" ht="51" customHeight="1" x14ac:dyDescent="0.35">
      <c r="B196" s="86"/>
      <c r="C196" s="97"/>
      <c r="D196" s="97"/>
      <c r="E196" s="97"/>
      <c r="F196" s="97"/>
      <c r="G196" s="97"/>
      <c r="H196" s="86"/>
    </row>
    <row r="197" spans="2:8" s="9" customFormat="1" ht="24" customHeight="1" x14ac:dyDescent="0.45">
      <c r="B197" s="13">
        <f t="array" ref="B197:H197">Days+29+DATE(Calendar12Year,Calendar12MonthOption,1)-WEEKDAY(DATE(Calendar12Year,Calendar12MonthOption,1),WeekdayOption)</f>
        <v>46593</v>
      </c>
      <c r="C197" s="30">
        <v>46594</v>
      </c>
      <c r="D197" s="30">
        <v>46595</v>
      </c>
      <c r="E197" s="30">
        <v>46596</v>
      </c>
      <c r="F197" s="30">
        <v>46597</v>
      </c>
      <c r="G197" s="30">
        <v>46598</v>
      </c>
      <c r="H197" s="13">
        <v>46599</v>
      </c>
    </row>
    <row r="198" spans="2:8" s="8" customFormat="1" ht="51" customHeight="1" x14ac:dyDescent="0.35">
      <c r="B198" s="86"/>
      <c r="C198" s="97"/>
      <c r="E198" s="97"/>
      <c r="F198" s="97"/>
      <c r="G198" s="97"/>
      <c r="H198" s="86"/>
    </row>
    <row r="199" spans="2:8" s="9" customFormat="1" ht="24" customHeight="1" x14ac:dyDescent="0.45">
      <c r="B199" s="3">
        <f t="array" ref="B199:C199">Days+36+DATE(Calendar12Year,Calendar12MonthOption,1)-WEEKDAY(DATE(Calendar12Year,Calendar12MonthOption,1),WeekdayOption)</f>
        <v>46600</v>
      </c>
      <c r="C199" s="29">
        <v>46601</v>
      </c>
      <c r="D199" s="160" t="s">
        <v>7</v>
      </c>
      <c r="E199" s="161"/>
      <c r="F199" s="161"/>
      <c r="G199" s="161"/>
      <c r="H199" s="161"/>
    </row>
    <row r="200" spans="2:8" s="8" customFormat="1" ht="51" customHeight="1" x14ac:dyDescent="0.35">
      <c r="B200" s="82"/>
      <c r="C200" s="97"/>
      <c r="D200" s="159"/>
      <c r="E200" s="159"/>
      <c r="F200" s="159"/>
      <c r="G200" s="159"/>
      <c r="H200" s="159"/>
    </row>
  </sheetData>
  <sheetProtection algorithmName="SHA-512" hashValue="MsjEuzYdKthh6p9p4mRGYZ/viHnzIDxLKurAzH0vrJWEntv0ADxvTbehJRFRldbNgisT8E9tpQC1zfF7PDD5Tg==" saltValue="a/j8n2l51UGKop6Xs3we4g==" spinCount="100000" sheet="1" selectLockedCells="1"/>
  <mergeCells count="37">
    <mergeCell ref="L15:P15"/>
    <mergeCell ref="K14:Q14"/>
    <mergeCell ref="C10:D10"/>
    <mergeCell ref="D183:H183"/>
    <mergeCell ref="D23:H23"/>
    <mergeCell ref="D24:H24"/>
    <mergeCell ref="D56:H56"/>
    <mergeCell ref="D72:H72"/>
    <mergeCell ref="D88:H88"/>
    <mergeCell ref="D71:H71"/>
    <mergeCell ref="D87:H87"/>
    <mergeCell ref="D39:H39"/>
    <mergeCell ref="D40:H40"/>
    <mergeCell ref="D55:H55"/>
    <mergeCell ref="C42:D42"/>
    <mergeCell ref="D135:H135"/>
    <mergeCell ref="D151:H151"/>
    <mergeCell ref="D120:H120"/>
    <mergeCell ref="D136:H136"/>
    <mergeCell ref="D184:H184"/>
    <mergeCell ref="C122:D122"/>
    <mergeCell ref="C138:D138"/>
    <mergeCell ref="C154:D154"/>
    <mergeCell ref="C170:D170"/>
    <mergeCell ref="D200:H200"/>
    <mergeCell ref="D167:H167"/>
    <mergeCell ref="D168:H168"/>
    <mergeCell ref="D152:H152"/>
    <mergeCell ref="D199:H199"/>
    <mergeCell ref="C26:D26"/>
    <mergeCell ref="D103:H103"/>
    <mergeCell ref="D119:H119"/>
    <mergeCell ref="D104:H104"/>
    <mergeCell ref="C58:D58"/>
    <mergeCell ref="C74:D74"/>
    <mergeCell ref="C90:D90"/>
    <mergeCell ref="C106:D106"/>
  </mergeCells>
  <phoneticPr fontId="3" type="noConversion"/>
  <conditionalFormatting sqref="B20 H20">
    <cfRule type="expression" dxfId="95" priority="846">
      <formula>MONTH($B$19)&lt;&gt;8</formula>
    </cfRule>
  </conditionalFormatting>
  <conditionalFormatting sqref="B22">
    <cfRule type="expression" dxfId="94" priority="833">
      <formula>MONTH($B$21)&lt;&gt;8</formula>
    </cfRule>
  </conditionalFormatting>
  <conditionalFormatting sqref="B24">
    <cfRule type="expression" dxfId="93" priority="841">
      <formula>MONTH($B$23)&lt;&gt;8</formula>
    </cfRule>
  </conditionalFormatting>
  <conditionalFormatting sqref="B30 B40:C40">
    <cfRule type="expression" dxfId="92" priority="832">
      <formula>MONTH(B29)&lt;&gt;MONTH(DATE(Calendar1Year,_xlfn.SINGLE(Calendar1MonthOption)+1,1))</formula>
    </cfRule>
  </conditionalFormatting>
  <conditionalFormatting sqref="B38">
    <cfRule type="expression" dxfId="91" priority="823">
      <formula>MONTH(B37)&lt;&gt;MONTH(DATE(Calendar1Year,_xlfn.SINGLE(Calendar1MonthOption)+1,1))</formula>
    </cfRule>
  </conditionalFormatting>
  <conditionalFormatting sqref="B46">
    <cfRule type="expression" dxfId="90" priority="812">
      <formula>MONTH($B$45)&lt;&gt;Calendar3MonthOption</formula>
    </cfRule>
  </conditionalFormatting>
  <conditionalFormatting sqref="B56">
    <cfRule type="expression" dxfId="89" priority="844">
      <formula>MONTH($B$55)&lt;&gt;MONTH(DATE(Calendar2Year,_xlfn.SINGLE(Calendar2MonthOption)+1,1))</formula>
    </cfRule>
  </conditionalFormatting>
  <conditionalFormatting sqref="B62">
    <cfRule type="expression" dxfId="88" priority="803">
      <formula>MONTH($B$61)&lt;&gt;Calendar4MonthOption</formula>
    </cfRule>
  </conditionalFormatting>
  <conditionalFormatting sqref="B72">
    <cfRule type="expression" dxfId="87" priority="790">
      <formula>MONTH($B$71)&lt;&gt;Calendar4MonthOption</formula>
    </cfRule>
  </conditionalFormatting>
  <conditionalFormatting sqref="B78">
    <cfRule type="expression" dxfId="86" priority="788">
      <formula>MONTH($B$77)&lt;&gt;Calendar5MonthOption</formula>
    </cfRule>
  </conditionalFormatting>
  <conditionalFormatting sqref="B88">
    <cfRule type="expression" dxfId="85" priority="774">
      <formula>MONTH($B$87)&lt;&gt;Calendar5MonthOption</formula>
    </cfRule>
  </conditionalFormatting>
  <conditionalFormatting sqref="B94">
    <cfRule type="expression" dxfId="84" priority="772">
      <formula>MONTH($B$93)&lt;&gt;Calendar6MonthOption</formula>
    </cfRule>
  </conditionalFormatting>
  <conditionalFormatting sqref="B104">
    <cfRule type="expression" dxfId="83" priority="760">
      <formula>MONTH($B$103)&lt;&gt;Calendar6MonthOption</formula>
    </cfRule>
  </conditionalFormatting>
  <conditionalFormatting sqref="B110">
    <cfRule type="expression" dxfId="82" priority="758">
      <formula>MONTH($B$109)&lt;&gt;Calendar7MonthOption</formula>
    </cfRule>
  </conditionalFormatting>
  <conditionalFormatting sqref="B118">
    <cfRule type="expression" dxfId="81" priority="752">
      <formula>MONTH($B$117)&lt;&gt;Calendar7MonthOption</formula>
    </cfRule>
  </conditionalFormatting>
  <conditionalFormatting sqref="B120">
    <cfRule type="expression" dxfId="80" priority="745">
      <formula>MONTH($B$120)&lt;&gt;Calendar7MonthOption</formula>
    </cfRule>
  </conditionalFormatting>
  <conditionalFormatting sqref="B126">
    <cfRule type="expression" dxfId="79" priority="743">
      <formula>MONTH($B$125)&lt;&gt;Calendar8MonthOption</formula>
    </cfRule>
  </conditionalFormatting>
  <conditionalFormatting sqref="B136">
    <cfRule type="expression" dxfId="78" priority="732">
      <formula>MONTH($B$135)&lt;&gt;Calendar8MonthOption</formula>
    </cfRule>
  </conditionalFormatting>
  <conditionalFormatting sqref="B142">
    <cfRule type="expression" dxfId="77" priority="730">
      <formula>MONTH($B$141)&lt;&gt;Calendar9MonthOption</formula>
    </cfRule>
  </conditionalFormatting>
  <conditionalFormatting sqref="B152">
    <cfRule type="expression" dxfId="76" priority="716">
      <formula>MONTH($B$151)&lt;&gt;Calendar9MonthOption</formula>
    </cfRule>
  </conditionalFormatting>
  <conditionalFormatting sqref="B158">
    <cfRule type="expression" dxfId="75" priority="714">
      <formula>MONTH($B$157)&lt;&gt;Calendar10MonthOption</formula>
    </cfRule>
  </conditionalFormatting>
  <conditionalFormatting sqref="B168">
    <cfRule type="expression" dxfId="74" priority="703">
      <formula>MONTH($B$167)&lt;&gt;Calendar10MonthOption</formula>
    </cfRule>
  </conditionalFormatting>
  <conditionalFormatting sqref="B174">
    <cfRule type="expression" dxfId="73" priority="701">
      <formula>MONTH($B$173)&lt;&gt;Calendar11MonthOption</formula>
    </cfRule>
  </conditionalFormatting>
  <conditionalFormatting sqref="B184">
    <cfRule type="expression" dxfId="72" priority="690">
      <formula>MONTH($B$183)&lt;&gt;Calendar11MonthOption</formula>
    </cfRule>
  </conditionalFormatting>
  <conditionalFormatting sqref="B190">
    <cfRule type="expression" dxfId="71" priority="688">
      <formula>MONTH($B$189)&lt;&gt;Calendar12MonthOption</formula>
    </cfRule>
  </conditionalFormatting>
  <conditionalFormatting sqref="B200">
    <cfRule type="expression" dxfId="70" priority="677">
      <formula>MONTH($B$199)&lt;&gt;Calendar12MonthOption</formula>
    </cfRule>
  </conditionalFormatting>
  <conditionalFormatting sqref="B13:H13 B15:H15 B17:H17 B19:H19 B21:H21 B23:C23">
    <cfRule type="expression" dxfId="69" priority="891">
      <formula>MONTH(B13)&lt;&gt;Calendar1MonthOption</formula>
    </cfRule>
  </conditionalFormatting>
  <conditionalFormatting sqref="B13:H13 H14 B38:E38 H38 B39:H45 B46 F46:H46 B47:H55 B56 D56:H56 B57:H71 B72 D72:H72 B73:H85 B86:F86 H86 B87:H87 B88 D88:H88 B89:H93 B94 G94:H94 B95:H103 B104 D104:H104 B105:H119 B120 D120:H120 B121:H133 B134:D134 F134:H134 B135:H141 B142 F142:H142 B143:H151 B152 D152:H152 B153:H157 B158 H158 B159:H181 B182:E182 H182 B183:H183 B184 D184:H184 B185:H189 B190 F190:H190 B191:H197 B198:C198 E198:H198 B199:H200 B15:H37">
    <cfRule type="containsText" dxfId="68" priority="10" operator="containsText" text="Early Dismissal">
      <formula>NOT(ISERROR(SEARCH("Early Dismissal",B13)))</formula>
    </cfRule>
    <cfRule type="containsText" dxfId="67" priority="12" operator="containsText" text="PD/In-Service">
      <formula>NOT(ISERROR(SEARCH("PD/In-Service",B13)))</formula>
    </cfRule>
    <cfRule type="containsText" dxfId="66" priority="11" operator="containsText" text="Planning Day">
      <formula>NOT(ISERROR(SEARCH("Planning Day",B13)))</formula>
    </cfRule>
    <cfRule type="containsText" dxfId="65" priority="9" operator="containsText" text="Extra Day">
      <formula>NOT(ISERROR(SEARCH("Extra Day",B13)))</formula>
    </cfRule>
  </conditionalFormatting>
  <conditionalFormatting sqref="B29:H29 B31:H31 B33:H33 B35:H35 B37:H37 B39:C39">
    <cfRule type="expression" dxfId="64" priority="880">
      <formula>MONTH(B29)&lt;&gt;Calendar2MonthOption</formula>
    </cfRule>
  </conditionalFormatting>
  <conditionalFormatting sqref="B45:H45 B47:H47 B49:H49 B51:H51 B53:H53 B55:C55">
    <cfRule type="expression" dxfId="63" priority="878">
      <formula>MONTH(B45)&lt;&gt;Calendar3MonthOption</formula>
    </cfRule>
  </conditionalFormatting>
  <conditionalFormatting sqref="B61:H61 B63:H63 B65:H65 B67:H67 B69:H69 B71:C71">
    <cfRule type="expression" dxfId="62" priority="876">
      <formula>MONTH(B61)&lt;&gt;Calendar4MonthOption</formula>
    </cfRule>
  </conditionalFormatting>
  <conditionalFormatting sqref="B77:H77 B79:H79 B81:H81 B83:H83 B85:H85 B87:C87">
    <cfRule type="expression" dxfId="61" priority="874">
      <formula>MONTH(B77)&lt;&gt;Calendar5MonthOption</formula>
    </cfRule>
  </conditionalFormatting>
  <conditionalFormatting sqref="B93:H93 B95:H95 B97:H97 B99:H99 B101:H101 B103:C103">
    <cfRule type="expression" dxfId="60" priority="872">
      <formula>MONTH(B93)&lt;&gt;Calendar6MonthOption</formula>
    </cfRule>
  </conditionalFormatting>
  <conditionalFormatting sqref="B109:H109 B111:H111 B113:H113 B115:H115 B117:H117 B119:C119">
    <cfRule type="expression" dxfId="59" priority="870">
      <formula>MONTH(B109)&lt;&gt;Calendar7MonthOption</formula>
    </cfRule>
  </conditionalFormatting>
  <conditionalFormatting sqref="B125:H125 B127:H127 B129:H129 B131:H131 B133:H133 B135:C135">
    <cfRule type="expression" dxfId="58" priority="868">
      <formula>MONTH(B125)&lt;&gt;Calendar8MonthOption</formula>
    </cfRule>
  </conditionalFormatting>
  <conditionalFormatting sqref="B141:H141 B143:H143 B145:H145 B147:H147 B149:H149 B151:C151">
    <cfRule type="expression" dxfId="57" priority="866">
      <formula>MONTH(B141)&lt;&gt;Calendar9MonthOption</formula>
    </cfRule>
  </conditionalFormatting>
  <conditionalFormatting sqref="B157:H157 B159:H159 B161:H161 B163:H163 B165:H165 B167:C167">
    <cfRule type="expression" dxfId="56" priority="856">
      <formula>MONTH(B157)&lt;&gt;Calendar10MonthOption</formula>
    </cfRule>
  </conditionalFormatting>
  <conditionalFormatting sqref="B173:H173 B175:H175 B177:H177 B179:H179 B181:H181 B183:C183">
    <cfRule type="expression" dxfId="55" priority="855">
      <formula>MONTH(B173)&lt;&gt;Calendar11MonthOption</formula>
    </cfRule>
  </conditionalFormatting>
  <conditionalFormatting sqref="B189:H189 B191:H191 B193:H193 B195:H195 B197:H197 B199:C199">
    <cfRule type="expression" dxfId="54" priority="854">
      <formula>MONTH(B189)&lt;&gt;Calendar12MonthOption</formula>
    </cfRule>
  </conditionalFormatting>
  <conditionalFormatting sqref="C24">
    <cfRule type="expression" dxfId="53" priority="840">
      <formula>MONTH($C$23)&lt;&gt;8</formula>
    </cfRule>
  </conditionalFormatting>
  <conditionalFormatting sqref="C30">
    <cfRule type="expression" dxfId="52" priority="831">
      <formula>MONTH($C$29)&lt;&gt;MONTH(DATE(Calendar1Year,_xlfn.SINGLE(Calendar1MonthOption)+1,1))</formula>
    </cfRule>
  </conditionalFormatting>
  <conditionalFormatting sqref="C78">
    <cfRule type="expression" dxfId="51" priority="787">
      <formula>MONTH($C$77)&lt;&gt;Calendar5MonthOption</formula>
    </cfRule>
    <cfRule type="expression" dxfId="50" priority="1">
      <formula>MONTH($H$69)&lt;&gt;Calendar4MonthOption</formula>
    </cfRule>
  </conditionalFormatting>
  <conditionalFormatting sqref="C136">
    <cfRule type="expression" dxfId="49" priority="2">
      <formula>MONTH($H$133)&lt;&gt;Calendar8MonthOption</formula>
    </cfRule>
    <cfRule type="expression" dxfId="48" priority="731">
      <formula>MONTH($C$135)&lt;&gt;Calendar8MonthOption</formula>
    </cfRule>
  </conditionalFormatting>
  <conditionalFormatting sqref="C168">
    <cfRule type="expression" dxfId="47" priority="702">
      <formula>MONTH($C$167)&lt;&gt;Calendar10MonthOption</formula>
    </cfRule>
  </conditionalFormatting>
  <conditionalFormatting sqref="C174">
    <cfRule type="expression" dxfId="46" priority="700">
      <formula>MONTH($C$173)&lt;&gt;Calendar11MonthOption</formula>
    </cfRule>
  </conditionalFormatting>
  <conditionalFormatting sqref="C200">
    <cfRule type="expression" dxfId="45" priority="676">
      <formula>MONTH($C$199)&lt;&gt;Calendar12MonthOption</formula>
    </cfRule>
  </conditionalFormatting>
  <conditionalFormatting sqref="C118:G118">
    <cfRule type="expression" dxfId="44" priority="747">
      <formula>MONTH($G$117)&lt;&gt;Calendar7MonthOption</formula>
    </cfRule>
  </conditionalFormatting>
  <conditionalFormatting sqref="C118:H118">
    <cfRule type="expression" dxfId="43" priority="746">
      <formula>MONTH($H$117)&lt;&gt;Calendar7MonthOption</formula>
    </cfRule>
  </conditionalFormatting>
  <conditionalFormatting sqref="D30">
    <cfRule type="expression" dxfId="42" priority="830">
      <formula>MONTH($D$29)&lt;&gt;MONTH(DATE(Calendar1Year,_xlfn.SINGLE(Calendar1MonthOption)+1,1))</formula>
    </cfRule>
  </conditionalFormatting>
  <conditionalFormatting sqref="D78">
    <cfRule type="expression" dxfId="41" priority="786">
      <formula>MONTH($D$77)&lt;&gt;Calendar5MonthOption</formula>
    </cfRule>
  </conditionalFormatting>
  <conditionalFormatting sqref="D174">
    <cfRule type="expression" dxfId="40" priority="699">
      <formula>MONTH($D$173)&lt;&gt;Calendar11MonthOption</formula>
    </cfRule>
  </conditionalFormatting>
  <conditionalFormatting sqref="D70:G70">
    <cfRule type="expression" dxfId="39" priority="792">
      <formula>MONTH($G$69)&lt;&gt;Calendar4MonthOption</formula>
    </cfRule>
  </conditionalFormatting>
  <conditionalFormatting sqref="D70:H70">
    <cfRule type="expression" dxfId="38" priority="791">
      <formula>MONTH($H$69)&lt;&gt;Calendar4MonthOption</formula>
    </cfRule>
  </conditionalFormatting>
  <conditionalFormatting sqref="E30">
    <cfRule type="expression" dxfId="37" priority="829">
      <formula>MONTH($E$29)&lt;&gt;MONTH(DATE(Calendar1Year,_xlfn.SINGLE(Calendar1MonthOption)+1,1))</formula>
    </cfRule>
  </conditionalFormatting>
  <conditionalFormatting sqref="E78">
    <cfRule type="expression" dxfId="36" priority="784">
      <formula>MONTH($E$77)&lt;&gt;Calendar5MonthOption</formula>
    </cfRule>
  </conditionalFormatting>
  <conditionalFormatting sqref="E174">
    <cfRule type="expression" dxfId="35" priority="698">
      <formula>MONTH($E$173)&lt;&gt;Calendar11MonthOption</formula>
    </cfRule>
  </conditionalFormatting>
  <conditionalFormatting sqref="E54:G54">
    <cfRule type="expression" dxfId="34" priority="842">
      <formula>MONTH($E$53)&lt;&gt;MONTH(DATE(Calendar2Year,_xlfn.SINGLE(Calendar2MonthOption)+1,1))</formula>
    </cfRule>
  </conditionalFormatting>
  <conditionalFormatting sqref="E150:G150">
    <cfRule type="expression" dxfId="33" priority="722">
      <formula>MONTH($E$149)&lt;&gt;Calendar9MonthOption</formula>
    </cfRule>
  </conditionalFormatting>
  <conditionalFormatting sqref="F30">
    <cfRule type="expression" dxfId="32" priority="827">
      <formula>MONTH($F$29)&lt;&gt;MONTH(DATE(Calendar1Year,_xlfn.SINGLE(Calendar1MonthOption)+1,1))</formula>
    </cfRule>
  </conditionalFormatting>
  <conditionalFormatting sqref="F78">
    <cfRule type="expression" dxfId="31" priority="783">
      <formula>MONTH($F$77)&lt;&gt;Calendar5MonthOption</formula>
    </cfRule>
  </conditionalFormatting>
  <conditionalFormatting sqref="F174">
    <cfRule type="expression" dxfId="30" priority="697">
      <formula>MONTH($F$173)&lt;&gt;Calendar11MonthOption</formula>
    </cfRule>
  </conditionalFormatting>
  <conditionalFormatting sqref="F198">
    <cfRule type="expression" dxfId="29" priority="680">
      <formula>MONTH($F$197)&lt;&gt;Calendar12MonthOption</formula>
    </cfRule>
  </conditionalFormatting>
  <conditionalFormatting sqref="F102:G102">
    <cfRule type="expression" dxfId="28" priority="763">
      <formula>MONTH($F$101)&lt;&gt;Calendar6MonthOption</formula>
    </cfRule>
  </conditionalFormatting>
  <conditionalFormatting sqref="F134:G134">
    <cfRule type="expression" dxfId="27" priority="3">
      <formula>MONTH($C$135)&lt;&gt;Calendar8MonthOption</formula>
    </cfRule>
  </conditionalFormatting>
  <conditionalFormatting sqref="F198:G198">
    <cfRule type="expression" dxfId="26" priority="679">
      <formula>MONTH($G$197)&lt;&gt;Calendar12MonthOption</formula>
    </cfRule>
  </conditionalFormatting>
  <conditionalFormatting sqref="F134:H134 B135:H141 B73:H85 B13:H13 H14 B38:E38 H38 B39:H45 B46 F46:H46 B47:H55 B56 D56:H56 B57:H71 B72 D72:H72 B86:F86 H86 B87:H87 B88 D88:H88 B89:H93 B94 G94:H94 B95:H103 B104 D104:H104 B105:H119 B120 D120:H120 B121:H133 B134:D134 B142 F142:H142 B143:H151 B152 D152:H152 B153:H157 B158 H158 B159:H181 B182:E182 H182 B183:H183 B184 D184:H184 B185:H189 B190 F190:H190 B191:H197 B198:C198 E198:H198 B199:H200 B15:H37">
    <cfRule type="containsText" dxfId="25" priority="8" operator="containsText" text="not scheduled">
      <formula>NOT(ISERROR(SEARCH("not scheduled",B13)))</formula>
    </cfRule>
  </conditionalFormatting>
  <conditionalFormatting sqref="F134:H134">
    <cfRule type="expression" dxfId="24" priority="733">
      <formula>MONTH($H$133)&lt;&gt;Calendar8MonthOption</formula>
    </cfRule>
  </conditionalFormatting>
  <conditionalFormatting sqref="G22">
    <cfRule type="expression" dxfId="23" priority="839">
      <formula>MONTH($G$21)&lt;&gt;8</formula>
    </cfRule>
  </conditionalFormatting>
  <conditionalFormatting sqref="G174">
    <cfRule type="expression" dxfId="22" priority="696">
      <formula>MONTH($G$173)&lt;&gt;Calendar11MonthOption</formula>
    </cfRule>
  </conditionalFormatting>
  <conditionalFormatting sqref="H14 B38:E38 H38 B39:H45 B46 F46:H46 B47:H55 B56 D56:H56 B57:H71 B72 D72:H72 B73:H85 B86:F86 H86 B87:H87 B88 D88:H88 B89:H93 B94 G94:H94 B95:H103 B104 D104:H104 B105:H119 B120 D120:H120 B121:H133 B134:D134 F134:H134 B135:H141 B142 F142:H142 B143:H151 B152 D152:H152 B153:H157 B158 H158 B159:H181 B182:E182 H182 B183:H183 B184 D184:H184 B185:H189 B190 F190:H190 B191:H197 B198:C198 E198:H198 B15:H37">
    <cfRule type="cellIs" dxfId="21" priority="13" operator="equal">
      <formula>"Closed (non-operational)"</formula>
    </cfRule>
  </conditionalFormatting>
  <conditionalFormatting sqref="H14">
    <cfRule type="expression" dxfId="20" priority="847">
      <formula>MONTH($H$13)&lt;&gt;8</formula>
    </cfRule>
  </conditionalFormatting>
  <conditionalFormatting sqref="H22">
    <cfRule type="expression" dxfId="19" priority="838">
      <formula>MONTH($H$21)&lt;&gt;8</formula>
    </cfRule>
  </conditionalFormatting>
  <conditionalFormatting sqref="H30">
    <cfRule type="expression" dxfId="18" priority="825">
      <formula>MONTH($H$29)&lt;&gt;MONTH(DATE(Calendar1Year,_xlfn.SINGLE(Calendar1MonthOption)+1,1))</formula>
    </cfRule>
  </conditionalFormatting>
  <conditionalFormatting sqref="H38">
    <cfRule type="expression" dxfId="17" priority="814">
      <formula>MONTH($H$37)&lt;&gt;MONTH(DATE(Calendar1Year,_xlfn.SINGLE(Calendar1MonthOption)+1,1))</formula>
    </cfRule>
  </conditionalFormatting>
  <conditionalFormatting sqref="H54">
    <cfRule type="expression" dxfId="16" priority="804">
      <formula>MONTH($H$53)&lt;&gt;Calendar3MonthOption</formula>
    </cfRule>
  </conditionalFormatting>
  <conditionalFormatting sqref="H62">
    <cfRule type="expression" dxfId="15" priority="797">
      <formula>MONTH($H$61)&lt;&gt;Calendar4MonthOption</formula>
    </cfRule>
  </conditionalFormatting>
  <conditionalFormatting sqref="H78">
    <cfRule type="expression" dxfId="14" priority="781">
      <formula>MONTH($H$77)&lt;&gt;Calendar5MonthOption</formula>
    </cfRule>
  </conditionalFormatting>
  <conditionalFormatting sqref="H86">
    <cfRule type="expression" dxfId="13" priority="775">
      <formula>MONTH($H$85)&lt;&gt;Calendar5MonthOption</formula>
    </cfRule>
  </conditionalFormatting>
  <conditionalFormatting sqref="H94">
    <cfRule type="expression" dxfId="12" priority="766">
      <formula>MONTH($H$93)&lt;&gt;Calendar6MonthOption</formula>
    </cfRule>
  </conditionalFormatting>
  <conditionalFormatting sqref="H102">
    <cfRule type="expression" dxfId="11" priority="761">
      <formula>MONTH($H$101)&lt;&gt;Calendar6MonthOption</formula>
    </cfRule>
  </conditionalFormatting>
  <conditionalFormatting sqref="H150">
    <cfRule type="expression" dxfId="10" priority="717">
      <formula>MONTH($H$149)&lt;&gt;Calendar9MonthOption</formula>
    </cfRule>
  </conditionalFormatting>
  <conditionalFormatting sqref="H166">
    <cfRule type="expression" dxfId="9" priority="704">
      <formula>MONTH($H$165)&lt;&gt;Calendar10MonthOption</formula>
    </cfRule>
  </conditionalFormatting>
  <conditionalFormatting sqref="H182">
    <cfRule type="expression" dxfId="8" priority="691">
      <formula>MONTH($H$181)&lt;&gt;Calendar11MonthOption</formula>
    </cfRule>
  </conditionalFormatting>
  <conditionalFormatting sqref="H198">
    <cfRule type="expression" dxfId="7" priority="678">
      <formula>MONTH($H$197)&lt;&gt;Calendar12MonthOption</formula>
    </cfRule>
  </conditionalFormatting>
  <conditionalFormatting sqref="K14:Q14">
    <cfRule type="expression" dxfId="6" priority="631">
      <formula>(part_time_days="Yes")</formula>
    </cfRule>
  </conditionalFormatting>
  <dataValidations xWindow="87" yWindow="689" count="11">
    <dataValidation type="list" errorStyle="warning" allowBlank="1" showInputMessage="1" showErrorMessage="1" error="Select the week start day from the list. Select CANCEL,press ALT+DOWN ARROW for options, then DOWN ARROW and ENTER to make selection" prompt="Select the week start day in this cell. Press ALT+DOWN ARROW to open the drop-down list, then ENTER to make the selection. The calendar will update automatically" sqref="B12" xr:uid="{3164B77C-275E-4A81-8620-98550C13EEF2}">
      <formula1>"Sunday, Monday, Tuesday, Wednesday, Thursday, Friday, Saturday"</formula1>
    </dataValidation>
    <dataValidation allowBlank="1" showInputMessage="1" prompt="This workbook is a 12-month calendar. Enter starting year in cell B2, then select the starting month in cell C2. The calendar will update automatically for subsequent months" sqref="A9" xr:uid="{00000000-0002-0000-0000-000002000000}"/>
    <dataValidation allowBlank="1" showInputMessage="1" showErrorMessage="1" prompt="Enter year in this cell" sqref="B10" xr:uid="{00000000-0002-0000-0000-000003000000}"/>
    <dataValidation allowBlank="1" showInputMessage="1" prompt="Automatically determined weekday. To change weekdays, select a new week start day in cell B4." sqref="C12:H12 B28:H28 B44:H44 B60:H60 B76:H76 B92:H92 B108:H108 B124:H124 B140:H140 B156:H156 B172:H172 B188:H188" xr:uid="{00000000-0002-0000-0000-000004000000}"/>
    <dataValidation allowBlank="1" showInputMessage="1" sqref="B13" xr:uid="{CBCFDA83-FBF4-49E0-BFE2-D3B04EFA0AA2}"/>
    <dataValidation allowBlank="1" showInputMessage="1" prompt="Calendar year is automatically updated based on the year selected in cell B1" sqref="B27 B43 B59 B75 B91 B107 B123 B139 B155 B171 B187" xr:uid="{00000000-0002-0000-0000-000007000000}"/>
    <dataValidation allowBlank="1" showInputMessage="1" prompt="Calendar month is automatically updated based on the month selected in cell C1" sqref="E26:E27 C27:D27 E42:E43 C43:D43 E58:E59 C59:D59 E74:E75 C75:D75 E90:E91 C91:D91 E106:E107 C107:D107 E122:E123 C123:D123 E138:E139 C139:D139 E154:E155 C155:D155 E170:E171 C171:D171 E186:E187 C187:D187" xr:uid="{00000000-0002-0000-0000-000008000000}"/>
    <dataValidation allowBlank="1" showInputMessage="1" prompt="Enter monthly Notes in cell below" sqref="D23:H23" xr:uid="{00000000-0002-0000-0000-000009000000}"/>
    <dataValidation allowBlank="1" showInputMessage="1" prompt="Enter monthly Notes in this cell" sqref="D24:H25" xr:uid="{00000000-0002-0000-0000-00000A000000}"/>
    <dataValidation allowBlank="1" showInputMessage="1" prompt="Calendar year is automatically updated based on the year selected in cell B2" sqref="B26 B42 B58 B74 B90 B106 B122 B138 B154 B170 B186" xr:uid="{00000000-0002-0000-0000-00000B000000}"/>
    <dataValidation allowBlank="1" showInputMessage="1" prompt="Calendar month is automatically updated based on the month selected in cell C2" sqref="C26:D26 C42:D42 C58:D58 C74:D74 C90:D90 C106:D106 C122:D122 C138:D138 C154:D154 C170:D170 C186:D186" xr:uid="{00000000-0002-0000-0000-00000C000000}"/>
  </dataValidations>
  <printOptions horizontalCentered="1"/>
  <pageMargins left="0.25" right="0.25" top="0.5" bottom="0.3" header="0.3" footer="0.3"/>
  <pageSetup scale="90" fitToHeight="0" orientation="landscape" r:id="rId1"/>
  <headerFooter alignWithMargins="0"/>
  <rowBreaks count="11" manualBreakCount="11">
    <brk id="24" max="16383" man="1"/>
    <brk id="40" max="16383" man="1"/>
    <brk id="56" max="16383" man="1"/>
    <brk id="72" max="16383" man="1"/>
    <brk id="88" max="16383" man="1"/>
    <brk id="104" max="16383" man="1"/>
    <brk id="120" max="16383" man="1"/>
    <brk id="136" max="16383" man="1"/>
    <brk id="152" max="16383" man="1"/>
    <brk id="168" max="16383" man="1"/>
    <brk id="184" max="16383" man="1"/>
  </rowBreaks>
  <drawing r:id="rId2"/>
  <extLst>
    <ext xmlns:x14="http://schemas.microsoft.com/office/spreadsheetml/2009/9/main" uri="{CCE6A557-97BC-4b89-ADB6-D9C93CAAB3DF}">
      <x14:dataValidations xmlns:xm="http://schemas.microsoft.com/office/excel/2006/main" xWindow="87" yWindow="689" count="2">
        <x14:dataValidation type="list" allowBlank="1" showInputMessage="1" showErrorMessage="1" xr:uid="{6DA19DB7-03C7-4CBF-BDC6-4C762722F87E}">
          <x14:formula1>
            <xm:f>Parameters!$B$3:$B$11</xm:f>
          </x14:formula1>
          <xm:sqref>B16</xm:sqref>
        </x14:dataValidation>
        <x14:dataValidation type="list" allowBlank="1" showInputMessage="1" showErrorMessage="1" xr:uid="{D1756FDE-0F1F-45EA-B90C-B08A389297AF}">
          <x14:formula1>
            <xm:f>_xlfn.ANCHORARRAY(Parameters!$B$25)</xm:f>
          </x14:formula1>
          <xm:sqref>C198 C196:G196 C22:G22 C194:G194 C192:G192 C180:G180 C178:G178 C176:G176 C148:G148 C166:G166 C164:G164 C144:G144 F46:G46 C112:G112 C114:G114 C162:G162 C160:G160 C116:G116 C200 C132:G132 C130:G130 C128:G128 C126:G126 C110:G110 C20:G20 C18:G18 C16:G16 C64:G64 C32:G32 C34:G34 C36:G36 C52:G52 C102:G102 C66:G66 C68:G68 C62:G62 C70 C80:G80 C82:G82 E198:G198 C182:E182 C96:G96 C98:G98 C100:G100 C146:G146 C50:G50 C48:G48 F14:G14 C30:G30 C38:E38 F142:G142 C54:G54 C174:G174 C84:G84 G94 D78:G78 C150:G150 F190:G190 C134:E134 C86:F86 C24</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6773-B1E9-49B8-89A8-9478D8FF2A51}">
  <dimension ref="B12:P364"/>
  <sheetViews>
    <sheetView showGridLines="0" topLeftCell="A4" workbookViewId="0">
      <selection activeCell="C9" sqref="C9"/>
    </sheetView>
  </sheetViews>
  <sheetFormatPr defaultRowHeight="14.4" x14ac:dyDescent="0.3"/>
  <cols>
    <col min="2" max="2" width="11.6640625" hidden="1" customWidth="1"/>
    <col min="3" max="5" width="14.77734375" customWidth="1"/>
    <col min="6" max="7" width="19.6640625" customWidth="1"/>
    <col min="8" max="8" width="40.6640625" customWidth="1"/>
    <col min="9" max="9" width="12.6640625" customWidth="1"/>
    <col min="10" max="11" width="26.77734375" customWidth="1"/>
    <col min="13" max="13" width="9" customWidth="1"/>
    <col min="14" max="14" width="11" customWidth="1"/>
    <col min="15" max="15" width="15" customWidth="1"/>
    <col min="16" max="16" width="19.44140625" customWidth="1"/>
    <col min="17" max="18" width="9" customWidth="1"/>
  </cols>
  <sheetData>
    <row r="12" spans="2:11" ht="28.8" x14ac:dyDescent="0.3">
      <c r="B12" t="s">
        <v>28</v>
      </c>
      <c r="C12" s="119" t="s">
        <v>29</v>
      </c>
      <c r="D12" s="119" t="s">
        <v>16</v>
      </c>
      <c r="E12" s="119" t="s">
        <v>17</v>
      </c>
      <c r="F12" s="119" t="s">
        <v>19</v>
      </c>
      <c r="G12" s="119" t="s">
        <v>4120</v>
      </c>
      <c r="H12" s="119" t="s">
        <v>4122</v>
      </c>
      <c r="I12" s="119" t="s">
        <v>18</v>
      </c>
      <c r="J12" s="119" t="s">
        <v>30</v>
      </c>
      <c r="K12" s="120" t="s">
        <v>4075</v>
      </c>
    </row>
    <row r="13" spans="2:11" x14ac:dyDescent="0.3">
      <c r="B13" t="str">
        <f>TEXT(Exceptions[[#This Row],[Date]],"MMMM")</f>
        <v>January</v>
      </c>
      <c r="C13" s="145"/>
      <c r="D13" s="135"/>
      <c r="E13" s="135"/>
      <c r="F13" s="102"/>
      <c r="G13" s="102"/>
      <c r="H13" s="102"/>
      <c r="I13" s="42" t="str">
        <f>IF(OR(ISBLANK(Exceptions[[#This Row],[Start]]),ISBLANK(Exceptions[[#This Row],[End]])),"",(Exceptions[[#This Row],[End]]-Exceptions[[#This Row],[Start]])*1440)</f>
        <v/>
      </c>
      <c r="J13" s="42" t="str">
        <f>IF(ISBLANK(Exceptions[[#This Row],[Activity]]),"",IF(_xlfn.XLOOKUP(Exceptions[[#This Row],[Activity]],Types_of_Activity[Type of Activity],Types_of_Activity[Classification])=1,Exceptions[[#This Row],[Elapsed]],0))</f>
        <v/>
      </c>
      <c r="K13" s="42" t="str">
        <f>IF(ISBLANK(Exceptions[[#This Row],[Activity]]),"",IF(_xlfn.XLOOKUP(Exceptions[[#This Row],[Activity]],Types_of_Activity[Type of Activity],Types_of_Activity[Classification])=2,Exceptions[[#This Row],[Elapsed]],0))</f>
        <v/>
      </c>
    </row>
    <row r="14" spans="2:11" x14ac:dyDescent="0.3">
      <c r="B14" t="str">
        <f>TEXT(Exceptions[[#This Row],[Date]],"MMMM")</f>
        <v>January</v>
      </c>
      <c r="C14" s="145"/>
      <c r="D14" s="135"/>
      <c r="E14" s="135"/>
      <c r="F14" s="102"/>
      <c r="G14" s="102"/>
      <c r="H14" s="102"/>
      <c r="I14" s="42" t="str">
        <f>IF(OR(ISBLANK(Exceptions[[#This Row],[Start]]),ISBLANK(Exceptions[[#This Row],[End]])),"",(Exceptions[[#This Row],[End]]-Exceptions[[#This Row],[Start]])*1440)</f>
        <v/>
      </c>
      <c r="J14" s="42" t="str">
        <f>IF(ISBLANK(Exceptions[[#This Row],[Date]]),"",IF(Exceptions[[#This Row],[Activity]]="Instruction",Exceptions[[#This Row],[Elapsed]],0))</f>
        <v/>
      </c>
      <c r="K14" s="42" t="str">
        <f>IF(ISBLANK(Exceptions[[#This Row],[Activity]]),"",IF(_xlfn.XLOOKUP(Exceptions[[#This Row],[Activity]],Types_of_Activity[Type of Activity],Types_of_Activity[Classification])=2,Exceptions[[#This Row],[Elapsed]],0))</f>
        <v/>
      </c>
    </row>
    <row r="15" spans="2:11" x14ac:dyDescent="0.3">
      <c r="B15" t="str">
        <f>TEXT(Exceptions[[#This Row],[Date]],"MMMM")</f>
        <v>January</v>
      </c>
      <c r="C15" s="145"/>
      <c r="D15" s="135"/>
      <c r="E15" s="135"/>
      <c r="F15" s="102"/>
      <c r="G15" s="102"/>
      <c r="H15" s="102"/>
      <c r="I15" s="42" t="str">
        <f>IF(OR(ISBLANK(Exceptions[[#This Row],[Start]]),ISBLANK(Exceptions[[#This Row],[End]])),"",(Exceptions[[#This Row],[End]]-Exceptions[[#This Row],[Start]])*1440)</f>
        <v/>
      </c>
      <c r="J15" s="42" t="str">
        <f>IF(ISBLANK(Exceptions[[#This Row],[Date]]),"",IF(Exceptions[[#This Row],[Activity]]="Instruction",Exceptions[[#This Row],[Elapsed]],0))</f>
        <v/>
      </c>
      <c r="K15" s="42" t="str">
        <f>IF(ISBLANK(Exceptions[[#This Row],[Activity]]),"",IF(_xlfn.XLOOKUP(Exceptions[[#This Row],[Activity]],Types_of_Activity[Type of Activity],Types_of_Activity[Classification])=2,Exceptions[[#This Row],[Elapsed]],0))</f>
        <v/>
      </c>
    </row>
    <row r="16" spans="2:11" x14ac:dyDescent="0.3">
      <c r="B16" t="str">
        <f>TEXT(Exceptions[[#This Row],[Date]],"MMMM")</f>
        <v>January</v>
      </c>
      <c r="C16" s="145"/>
      <c r="D16" s="135"/>
      <c r="E16" s="135"/>
      <c r="F16" s="102"/>
      <c r="G16" s="102"/>
      <c r="H16" s="102"/>
      <c r="I16" s="42" t="str">
        <f>IF(OR(ISBLANK(Exceptions[[#This Row],[Start]]),ISBLANK(Exceptions[[#This Row],[End]])),"",(Exceptions[[#This Row],[End]]-Exceptions[[#This Row],[Start]])*1440)</f>
        <v/>
      </c>
      <c r="J16" s="42" t="str">
        <f>IF(ISBLANK(Exceptions[[#This Row],[Date]]),"",IF(Exceptions[[#This Row],[Activity]]="Instruction",Exceptions[[#This Row],[Elapsed]],0))</f>
        <v/>
      </c>
      <c r="K16" s="42" t="str">
        <f>IF(ISBLANK(Exceptions[[#This Row],[Activity]]),"",IF(_xlfn.XLOOKUP(Exceptions[[#This Row],[Activity]],Types_of_Activity[Type of Activity],Types_of_Activity[Classification])=2,Exceptions[[#This Row],[Elapsed]],0))</f>
        <v/>
      </c>
    </row>
    <row r="17" spans="2:16" x14ac:dyDescent="0.3">
      <c r="B17" t="str">
        <f>TEXT(Exceptions[[#This Row],[Date]],"MMMM")</f>
        <v>January</v>
      </c>
      <c r="C17" s="145"/>
      <c r="D17" s="135"/>
      <c r="E17" s="135"/>
      <c r="F17" s="102"/>
      <c r="G17" s="102"/>
      <c r="H17" s="102"/>
      <c r="I17" s="42" t="str">
        <f>IF(OR(ISBLANK(Exceptions[[#This Row],[Start]]),ISBLANK(Exceptions[[#This Row],[End]])),"",(Exceptions[[#This Row],[End]]-Exceptions[[#This Row],[Start]])*1440)</f>
        <v/>
      </c>
      <c r="J17" s="42" t="str">
        <f>IF(ISBLANK(Exceptions[[#This Row],[Date]]),"",IF(Exceptions[[#This Row],[Activity]]="Instruction",Exceptions[[#This Row],[Elapsed]],0))</f>
        <v/>
      </c>
      <c r="K17" s="42" t="str">
        <f>IF(ISBLANK(Exceptions[[#This Row],[Activity]]),"",IF(_xlfn.XLOOKUP(Exceptions[[#This Row],[Activity]],Types_of_Activity[Type of Activity],Types_of_Activity[Classification])=2,Exceptions[[#This Row],[Elapsed]],0))</f>
        <v/>
      </c>
    </row>
    <row r="18" spans="2:16" x14ac:dyDescent="0.3">
      <c r="B18" t="str">
        <f>TEXT(Exceptions[[#This Row],[Date]],"MMMM")</f>
        <v>January</v>
      </c>
      <c r="C18" s="145"/>
      <c r="D18" s="135"/>
      <c r="E18" s="135"/>
      <c r="F18" s="102"/>
      <c r="G18" s="102"/>
      <c r="H18" s="102"/>
      <c r="I18" s="42" t="str">
        <f>IF(OR(ISBLANK(Exceptions[[#This Row],[Start]]),ISBLANK(Exceptions[[#This Row],[End]])),"",(Exceptions[[#This Row],[End]]-Exceptions[[#This Row],[Start]])*1440)</f>
        <v/>
      </c>
      <c r="J18" s="42" t="str">
        <f>IF(ISBLANK(Exceptions[[#This Row],[Date]]),"",IF(Exceptions[[#This Row],[Activity]]="Instruction",Exceptions[[#This Row],[Elapsed]],0))</f>
        <v/>
      </c>
      <c r="K18" s="42" t="str">
        <f>IF(ISBLANK(Exceptions[[#This Row],[Activity]]),"",IF(_xlfn.XLOOKUP(Exceptions[[#This Row],[Activity]],Types_of_Activity[Type of Activity],Types_of_Activity[Classification])=2,Exceptions[[#This Row],[Elapsed]],0))</f>
        <v/>
      </c>
    </row>
    <row r="19" spans="2:16" x14ac:dyDescent="0.3">
      <c r="B19" t="str">
        <f>TEXT(Exceptions[[#This Row],[Date]],"MMMM")</f>
        <v>January</v>
      </c>
      <c r="C19" s="145"/>
      <c r="D19" s="135"/>
      <c r="E19" s="135"/>
      <c r="F19" s="102"/>
      <c r="G19" s="102"/>
      <c r="H19" s="102"/>
      <c r="I19" s="42" t="str">
        <f>IF(OR(ISBLANK(Exceptions[[#This Row],[Start]]),ISBLANK(Exceptions[[#This Row],[End]])),"",(Exceptions[[#This Row],[End]]-Exceptions[[#This Row],[Start]])*1440)</f>
        <v/>
      </c>
      <c r="J19" s="42" t="str">
        <f>IF(ISBLANK(Exceptions[[#This Row],[Date]]),"",IF(Exceptions[[#This Row],[Activity]]="Instruction",Exceptions[[#This Row],[Elapsed]],0))</f>
        <v/>
      </c>
      <c r="K19" s="42" t="str">
        <f>IF(ISBLANK(Exceptions[[#This Row],[Activity]]),"",IF(_xlfn.XLOOKUP(Exceptions[[#This Row],[Activity]],Types_of_Activity[Type of Activity],Types_of_Activity[Classification])=2,Exceptions[[#This Row],[Elapsed]],0))</f>
        <v/>
      </c>
    </row>
    <row r="20" spans="2:16" x14ac:dyDescent="0.3">
      <c r="B20" t="str">
        <f>TEXT(Exceptions[[#This Row],[Date]],"MMMM")</f>
        <v>January</v>
      </c>
      <c r="C20" s="145"/>
      <c r="D20" s="135"/>
      <c r="E20" s="135"/>
      <c r="F20" s="102"/>
      <c r="G20" s="102"/>
      <c r="H20" s="102"/>
      <c r="I20" s="42" t="str">
        <f>IF(OR(ISBLANK(Exceptions[[#This Row],[Start]]),ISBLANK(Exceptions[[#This Row],[End]])),"",(Exceptions[[#This Row],[End]]-Exceptions[[#This Row],[Start]])*1440)</f>
        <v/>
      </c>
      <c r="J20" s="42" t="str">
        <f>IF(ISBLANK(Exceptions[[#This Row],[Date]]),"",IF(Exceptions[[#This Row],[Activity]]="Instruction",Exceptions[[#This Row],[Elapsed]],0))</f>
        <v/>
      </c>
      <c r="K20" s="42" t="str">
        <f>IF(ISBLANK(Exceptions[[#This Row],[Activity]]),"",IF(_xlfn.XLOOKUP(Exceptions[[#This Row],[Activity]],Types_of_Activity[Type of Activity],Types_of_Activity[Classification])=2,Exceptions[[#This Row],[Elapsed]],0))</f>
        <v/>
      </c>
    </row>
    <row r="21" spans="2:16" x14ac:dyDescent="0.3">
      <c r="B21" t="str">
        <f>TEXT(Exceptions[[#This Row],[Date]],"MMMM")</f>
        <v>January</v>
      </c>
      <c r="C21" s="145"/>
      <c r="D21" s="135"/>
      <c r="E21" s="135"/>
      <c r="F21" s="102"/>
      <c r="G21" s="102"/>
      <c r="H21" s="102"/>
      <c r="I21" s="42" t="str">
        <f>IF(OR(ISBLANK(Exceptions[[#This Row],[Start]]),ISBLANK(Exceptions[[#This Row],[End]])),"",(Exceptions[[#This Row],[End]]-Exceptions[[#This Row],[Start]])*1440)</f>
        <v/>
      </c>
      <c r="J21" s="42" t="str">
        <f>IF(ISBLANK(Exceptions[[#This Row],[Date]]),"",IF(Exceptions[[#This Row],[Activity]]="Instruction",Exceptions[[#This Row],[Elapsed]],0))</f>
        <v/>
      </c>
      <c r="K21" s="42" t="str">
        <f>IF(ISBLANK(Exceptions[[#This Row],[Activity]]),"",IF(_xlfn.XLOOKUP(Exceptions[[#This Row],[Activity]],Types_of_Activity[Type of Activity],Types_of_Activity[Classification])=2,Exceptions[[#This Row],[Elapsed]],0))</f>
        <v/>
      </c>
    </row>
    <row r="22" spans="2:16" x14ac:dyDescent="0.3">
      <c r="B22" t="str">
        <f>TEXT(Exceptions[[#This Row],[Date]],"MMMM")</f>
        <v>January</v>
      </c>
      <c r="C22" s="145"/>
      <c r="D22" s="135"/>
      <c r="E22" s="135"/>
      <c r="F22" s="102"/>
      <c r="G22" s="102"/>
      <c r="H22" s="102"/>
      <c r="I22" s="42" t="str">
        <f>IF(OR(ISBLANK(Exceptions[[#This Row],[Start]]),ISBLANK(Exceptions[[#This Row],[End]])),"",(Exceptions[[#This Row],[End]]-Exceptions[[#This Row],[Start]])*1440)</f>
        <v/>
      </c>
      <c r="J22" s="42" t="str">
        <f>IF(ISBLANK(Exceptions[[#This Row],[Date]]),"",IF(Exceptions[[#This Row],[Activity]]="Instruction",Exceptions[[#This Row],[Elapsed]],0))</f>
        <v/>
      </c>
      <c r="K22" s="42" t="str">
        <f>IF(ISBLANK(Exceptions[[#This Row],[Activity]]),"",IF(_xlfn.XLOOKUP(Exceptions[[#This Row],[Activity]],Types_of_Activity[Type of Activity],Types_of_Activity[Classification])=2,Exceptions[[#This Row],[Elapsed]],0))</f>
        <v/>
      </c>
    </row>
    <row r="23" spans="2:16" x14ac:dyDescent="0.3">
      <c r="B23" t="str">
        <f>TEXT(Exceptions[[#This Row],[Date]],"MMMM")</f>
        <v>January</v>
      </c>
      <c r="C23" s="145"/>
      <c r="D23" s="135"/>
      <c r="E23" s="135"/>
      <c r="F23" s="102"/>
      <c r="G23" s="102"/>
      <c r="H23" s="102"/>
      <c r="I23" s="42" t="str">
        <f>IF(OR(ISBLANK(Exceptions[[#This Row],[Start]]),ISBLANK(Exceptions[[#This Row],[End]])),"",(Exceptions[[#This Row],[End]]-Exceptions[[#This Row],[Start]])*1440)</f>
        <v/>
      </c>
      <c r="J23" s="42" t="str">
        <f>IF(ISBLANK(Exceptions[[#This Row],[Date]]),"",IF(Exceptions[[#This Row],[Activity]]="Instruction",Exceptions[[#This Row],[Elapsed]],0))</f>
        <v/>
      </c>
      <c r="K23" s="42" t="str">
        <f>IF(ISBLANK(Exceptions[[#This Row],[Activity]]),"",IF(_xlfn.XLOOKUP(Exceptions[[#This Row],[Activity]],Types_of_Activity[Type of Activity],Types_of_Activity[Classification])=2,Exceptions[[#This Row],[Elapsed]],0))</f>
        <v/>
      </c>
    </row>
    <row r="24" spans="2:16" x14ac:dyDescent="0.3">
      <c r="B24" t="str">
        <f>TEXT(Exceptions[[#This Row],[Date]],"MMMM")</f>
        <v>January</v>
      </c>
      <c r="C24" s="145"/>
      <c r="D24" s="135"/>
      <c r="E24" s="135"/>
      <c r="F24" s="102"/>
      <c r="G24" s="102"/>
      <c r="H24" s="102"/>
      <c r="I24" s="42" t="str">
        <f>IF(OR(ISBLANK(Exceptions[[#This Row],[Start]]),ISBLANK(Exceptions[[#This Row],[End]])),"",(Exceptions[[#This Row],[End]]-Exceptions[[#This Row],[Start]])*1440)</f>
        <v/>
      </c>
      <c r="J24" s="42" t="str">
        <f>IF(ISBLANK(Exceptions[[#This Row],[Date]]),"",IF(Exceptions[[#This Row],[Activity]]="Instruction",Exceptions[[#This Row],[Elapsed]],0))</f>
        <v/>
      </c>
      <c r="K24" s="42" t="str">
        <f>IF(ISBLANK(Exceptions[[#This Row],[Activity]]),"",IF(_xlfn.XLOOKUP(Exceptions[[#This Row],[Activity]],Types_of_Activity[Type of Activity],Types_of_Activity[Classification])=2,Exceptions[[#This Row],[Elapsed]],0))</f>
        <v/>
      </c>
    </row>
    <row r="25" spans="2:16" x14ac:dyDescent="0.3">
      <c r="B25" t="str">
        <f>TEXT(Exceptions[[#This Row],[Date]],"MMMM")</f>
        <v>January</v>
      </c>
      <c r="C25" s="145"/>
      <c r="D25" s="135"/>
      <c r="E25" s="135"/>
      <c r="F25" s="102"/>
      <c r="G25" s="102"/>
      <c r="H25" s="102"/>
      <c r="I25" s="42" t="str">
        <f>IF(OR(ISBLANK(Exceptions[[#This Row],[Start]]),ISBLANK(Exceptions[[#This Row],[End]])),"",(Exceptions[[#This Row],[End]]-Exceptions[[#This Row],[Start]])*1440)</f>
        <v/>
      </c>
      <c r="J25" s="42" t="str">
        <f>IF(ISBLANK(Exceptions[[#This Row],[Date]]),"",IF(Exceptions[[#This Row],[Activity]]="Instruction",Exceptions[[#This Row],[Elapsed]],0))</f>
        <v/>
      </c>
      <c r="K25" s="42" t="str">
        <f>IF(ISBLANK(Exceptions[[#This Row],[Activity]]),"",IF(_xlfn.XLOOKUP(Exceptions[[#This Row],[Activity]],Types_of_Activity[Type of Activity],Types_of_Activity[Classification])=2,Exceptions[[#This Row],[Elapsed]],0))</f>
        <v/>
      </c>
    </row>
    <row r="26" spans="2:16" x14ac:dyDescent="0.3">
      <c r="B26" t="str">
        <f>TEXT(Exceptions[[#This Row],[Date]],"MMMM")</f>
        <v>January</v>
      </c>
      <c r="C26" s="145"/>
      <c r="D26" s="135"/>
      <c r="E26" s="135"/>
      <c r="F26" s="102"/>
      <c r="G26" s="102"/>
      <c r="H26" s="102"/>
      <c r="I26" s="42" t="str">
        <f>IF(OR(ISBLANK(Exceptions[[#This Row],[Start]]),ISBLANK(Exceptions[[#This Row],[End]])),"",(Exceptions[[#This Row],[End]]-Exceptions[[#This Row],[Start]])*1440)</f>
        <v/>
      </c>
      <c r="J26" s="42" t="str">
        <f>IF(ISBLANK(Exceptions[[#This Row],[Date]]),"",IF(Exceptions[[#This Row],[Activity]]="Instruction",Exceptions[[#This Row],[Elapsed]],0))</f>
        <v/>
      </c>
      <c r="K26" s="42" t="str">
        <f>IF(ISBLANK(Exceptions[[#This Row],[Activity]]),"",IF(_xlfn.XLOOKUP(Exceptions[[#This Row],[Activity]],Types_of_Activity[Type of Activity],Types_of_Activity[Classification])=2,Exceptions[[#This Row],[Elapsed]],0))</f>
        <v/>
      </c>
    </row>
    <row r="27" spans="2:16" x14ac:dyDescent="0.3">
      <c r="B27" t="str">
        <f>TEXT(Exceptions[[#This Row],[Date]],"MMMM")</f>
        <v>January</v>
      </c>
      <c r="C27" s="145"/>
      <c r="D27" s="135"/>
      <c r="E27" s="135"/>
      <c r="F27" s="102"/>
      <c r="G27" s="102"/>
      <c r="H27" s="102"/>
      <c r="I27" s="42" t="str">
        <f>IF(OR(ISBLANK(Exceptions[[#This Row],[Start]]),ISBLANK(Exceptions[[#This Row],[End]])),"",(Exceptions[[#This Row],[End]]-Exceptions[[#This Row],[Start]])*1440)</f>
        <v/>
      </c>
      <c r="J27" s="42" t="str">
        <f>IF(ISBLANK(Exceptions[[#This Row],[Date]]),"",IF(Exceptions[[#This Row],[Activity]]="Instruction",Exceptions[[#This Row],[Elapsed]],0))</f>
        <v/>
      </c>
      <c r="K27" s="42" t="str">
        <f>IF(ISBLANK(Exceptions[[#This Row],[Activity]]),"",IF(_xlfn.XLOOKUP(Exceptions[[#This Row],[Activity]],Types_of_Activity[Type of Activity],Types_of_Activity[Classification])=2,Exceptions[[#This Row],[Elapsed]],0))</f>
        <v/>
      </c>
    </row>
    <row r="28" spans="2:16" x14ac:dyDescent="0.3">
      <c r="B28" t="str">
        <f>TEXT(Exceptions[[#This Row],[Date]],"MMMM")</f>
        <v>January</v>
      </c>
      <c r="C28" s="145"/>
      <c r="D28" s="135"/>
      <c r="E28" s="135"/>
      <c r="F28" s="102"/>
      <c r="G28" s="102"/>
      <c r="H28" s="102"/>
      <c r="I28" s="42" t="str">
        <f>IF(OR(ISBLANK(Exceptions[[#This Row],[Start]]),ISBLANK(Exceptions[[#This Row],[End]])),"",(Exceptions[[#This Row],[End]]-Exceptions[[#This Row],[Start]])*1440)</f>
        <v/>
      </c>
      <c r="J28" s="42" t="str">
        <f>IF(ISBLANK(Exceptions[[#This Row],[Date]]),"",IF(Exceptions[[#This Row],[Activity]]="Instruction",Exceptions[[#This Row],[Elapsed]],0))</f>
        <v/>
      </c>
      <c r="K28" s="42" t="str">
        <f>IF(ISBLANK(Exceptions[[#This Row],[Activity]]),"",IF(_xlfn.XLOOKUP(Exceptions[[#This Row],[Activity]],Types_of_Activity[Type of Activity],Types_of_Activity[Classification])=2,Exceptions[[#This Row],[Elapsed]],0))</f>
        <v/>
      </c>
    </row>
    <row r="29" spans="2:16" x14ac:dyDescent="0.3">
      <c r="B29" t="str">
        <f>TEXT(Exceptions[[#This Row],[Date]],"MMMM")</f>
        <v>January</v>
      </c>
      <c r="C29" s="145"/>
      <c r="D29" s="135"/>
      <c r="E29" s="135"/>
      <c r="F29" s="102"/>
      <c r="G29" s="102"/>
      <c r="H29" s="102"/>
      <c r="I29" s="42" t="str">
        <f>IF(OR(ISBLANK(Exceptions[[#This Row],[Start]]),ISBLANK(Exceptions[[#This Row],[End]])),"",(Exceptions[[#This Row],[End]]-Exceptions[[#This Row],[Start]])*1440)</f>
        <v/>
      </c>
      <c r="J29" s="42" t="str">
        <f>IF(ISBLANK(Exceptions[[#This Row],[Date]]),"",IF(Exceptions[[#This Row],[Activity]]="Instruction",Exceptions[[#This Row],[Elapsed]],0))</f>
        <v/>
      </c>
      <c r="K29" s="42" t="str">
        <f>IF(ISBLANK(Exceptions[[#This Row],[Activity]]),"",IF(_xlfn.XLOOKUP(Exceptions[[#This Row],[Activity]],Types_of_Activity[Type of Activity],Types_of_Activity[Classification])=2,Exceptions[[#This Row],[Elapsed]],0))</f>
        <v/>
      </c>
      <c r="P29" s="42"/>
    </row>
    <row r="30" spans="2:16" x14ac:dyDescent="0.3">
      <c r="B30" t="str">
        <f>TEXT(Exceptions[[#This Row],[Date]],"MMMM")</f>
        <v>January</v>
      </c>
      <c r="C30" s="145"/>
      <c r="D30" s="135"/>
      <c r="E30" s="135"/>
      <c r="F30" s="102"/>
      <c r="G30" s="102"/>
      <c r="H30" s="102"/>
      <c r="I30" s="42" t="str">
        <f>IF(OR(ISBLANK(Exceptions[[#This Row],[Start]]),ISBLANK(Exceptions[[#This Row],[End]])),"",(Exceptions[[#This Row],[End]]-Exceptions[[#This Row],[Start]])*1440)</f>
        <v/>
      </c>
      <c r="J30" s="42" t="str">
        <f>IF(ISBLANK(Exceptions[[#This Row],[Date]]),"",IF(Exceptions[[#This Row],[Activity]]="Instruction",Exceptions[[#This Row],[Elapsed]],0))</f>
        <v/>
      </c>
      <c r="K30" s="42" t="str">
        <f>IF(ISBLANK(Exceptions[[#This Row],[Activity]]),"",IF(_xlfn.XLOOKUP(Exceptions[[#This Row],[Activity]],Types_of_Activity[Type of Activity],Types_of_Activity[Classification])=2,Exceptions[[#This Row],[Elapsed]],0))</f>
        <v/>
      </c>
    </row>
    <row r="31" spans="2:16" x14ac:dyDescent="0.3">
      <c r="B31" t="str">
        <f>TEXT(Exceptions[[#This Row],[Date]],"MMMM")</f>
        <v>January</v>
      </c>
      <c r="C31" s="145"/>
      <c r="D31" s="135"/>
      <c r="E31" s="135"/>
      <c r="F31" s="102"/>
      <c r="G31" s="102"/>
      <c r="H31" s="102"/>
      <c r="I31" s="42" t="str">
        <f>IF(OR(ISBLANK(Exceptions[[#This Row],[Start]]),ISBLANK(Exceptions[[#This Row],[End]])),"",(Exceptions[[#This Row],[End]]-Exceptions[[#This Row],[Start]])*1440)</f>
        <v/>
      </c>
      <c r="J31" s="42" t="str">
        <f>IF(ISBLANK(Exceptions[[#This Row],[Date]]),"",IF(Exceptions[[#This Row],[Activity]]="Instruction",Exceptions[[#This Row],[Elapsed]],0))</f>
        <v/>
      </c>
      <c r="K31" s="42" t="str">
        <f>IF(ISBLANK(Exceptions[[#This Row],[Activity]]),"",IF(_xlfn.XLOOKUP(Exceptions[[#This Row],[Activity]],Types_of_Activity[Type of Activity],Types_of_Activity[Classification])=2,Exceptions[[#This Row],[Elapsed]],0))</f>
        <v/>
      </c>
    </row>
    <row r="32" spans="2:16" x14ac:dyDescent="0.3">
      <c r="B32" t="str">
        <f>TEXT(Exceptions[[#This Row],[Date]],"MMMM")</f>
        <v>January</v>
      </c>
      <c r="C32" s="145"/>
      <c r="D32" s="135"/>
      <c r="E32" s="135"/>
      <c r="F32" s="102"/>
      <c r="G32" s="102"/>
      <c r="H32" s="102"/>
      <c r="I32" s="42" t="str">
        <f>IF(OR(ISBLANK(Exceptions[[#This Row],[Start]]),ISBLANK(Exceptions[[#This Row],[End]])),"",(Exceptions[[#This Row],[End]]-Exceptions[[#This Row],[Start]])*1440)</f>
        <v/>
      </c>
      <c r="J32" s="42" t="str">
        <f>IF(ISBLANK(Exceptions[[#This Row],[Date]]),"",IF(Exceptions[[#This Row],[Activity]]="Instruction",Exceptions[[#This Row],[Elapsed]],0))</f>
        <v/>
      </c>
      <c r="K32" s="42" t="str">
        <f>IF(ISBLANK(Exceptions[[#This Row],[Activity]]),"",IF(_xlfn.XLOOKUP(Exceptions[[#This Row],[Activity]],Types_of_Activity[Type of Activity],Types_of_Activity[Classification])=2,Exceptions[[#This Row],[Elapsed]],0))</f>
        <v/>
      </c>
    </row>
    <row r="33" spans="2:11" x14ac:dyDescent="0.3">
      <c r="B33" t="str">
        <f>TEXT(Exceptions[[#This Row],[Date]],"MMMM")</f>
        <v>January</v>
      </c>
      <c r="C33" s="145"/>
      <c r="D33" s="135"/>
      <c r="E33" s="135"/>
      <c r="F33" s="102"/>
      <c r="G33" s="102"/>
      <c r="H33" s="102"/>
      <c r="I33" s="42" t="str">
        <f>IF(OR(ISBLANK(Exceptions[[#This Row],[Start]]),ISBLANK(Exceptions[[#This Row],[End]])),"",(Exceptions[[#This Row],[End]]-Exceptions[[#This Row],[Start]])*1440)</f>
        <v/>
      </c>
      <c r="J33" s="42" t="str">
        <f>IF(ISBLANK(Exceptions[[#This Row],[Date]]),"",IF(Exceptions[[#This Row],[Activity]]="Instruction",Exceptions[[#This Row],[Elapsed]],0))</f>
        <v/>
      </c>
      <c r="K33" s="42" t="str">
        <f>IF(ISBLANK(Exceptions[[#This Row],[Activity]]),"",IF(_xlfn.XLOOKUP(Exceptions[[#This Row],[Activity]],Types_of_Activity[Type of Activity],Types_of_Activity[Classification])=2,Exceptions[[#This Row],[Elapsed]],0))</f>
        <v/>
      </c>
    </row>
    <row r="34" spans="2:11" x14ac:dyDescent="0.3">
      <c r="B34" t="str">
        <f>TEXT(Exceptions[[#This Row],[Date]],"MMMM")</f>
        <v>January</v>
      </c>
      <c r="C34" s="145"/>
      <c r="D34" s="135"/>
      <c r="E34" s="135"/>
      <c r="F34" s="102"/>
      <c r="G34" s="102"/>
      <c r="H34" s="102"/>
      <c r="I34" s="42" t="str">
        <f>IF(OR(ISBLANK(Exceptions[[#This Row],[Start]]),ISBLANK(Exceptions[[#This Row],[End]])),"",(Exceptions[[#This Row],[End]]-Exceptions[[#This Row],[Start]])*1440)</f>
        <v/>
      </c>
      <c r="J34" s="42" t="str">
        <f>IF(ISBLANK(Exceptions[[#This Row],[Date]]),"",IF(Exceptions[[#This Row],[Activity]]="Instruction",Exceptions[[#This Row],[Elapsed]],0))</f>
        <v/>
      </c>
      <c r="K34" s="42" t="str">
        <f>IF(ISBLANK(Exceptions[[#This Row],[Activity]]),"",IF(_xlfn.XLOOKUP(Exceptions[[#This Row],[Activity]],Types_of_Activity[Type of Activity],Types_of_Activity[Classification])=2,Exceptions[[#This Row],[Elapsed]],0))</f>
        <v/>
      </c>
    </row>
    <row r="35" spans="2:11" x14ac:dyDescent="0.3">
      <c r="B35" t="str">
        <f>TEXT(Exceptions[[#This Row],[Date]],"MMMM")</f>
        <v>January</v>
      </c>
      <c r="C35" s="145"/>
      <c r="D35" s="135"/>
      <c r="E35" s="135"/>
      <c r="F35" s="102"/>
      <c r="G35" s="102"/>
      <c r="H35" s="102"/>
      <c r="I35" s="42" t="str">
        <f>IF(OR(ISBLANK(Exceptions[[#This Row],[Start]]),ISBLANK(Exceptions[[#This Row],[End]])),"",(Exceptions[[#This Row],[End]]-Exceptions[[#This Row],[Start]])*1440)</f>
        <v/>
      </c>
      <c r="J35" s="42" t="str">
        <f>IF(ISBLANK(Exceptions[[#This Row],[Date]]),"",IF(Exceptions[[#This Row],[Activity]]="Instruction",Exceptions[[#This Row],[Elapsed]],0))</f>
        <v/>
      </c>
      <c r="K35" s="42" t="str">
        <f>IF(ISBLANK(Exceptions[[#This Row],[Activity]]),"",IF(_xlfn.XLOOKUP(Exceptions[[#This Row],[Activity]],Types_of_Activity[Type of Activity],Types_of_Activity[Classification])=2,Exceptions[[#This Row],[Elapsed]],0))</f>
        <v/>
      </c>
    </row>
    <row r="36" spans="2:11" x14ac:dyDescent="0.3">
      <c r="B36" t="str">
        <f>TEXT(Exceptions[[#This Row],[Date]],"MMMM")</f>
        <v>January</v>
      </c>
      <c r="C36" s="145"/>
      <c r="D36" s="135"/>
      <c r="E36" s="135"/>
      <c r="F36" s="102"/>
      <c r="G36" s="102"/>
      <c r="H36" s="102"/>
      <c r="I36" s="42" t="str">
        <f>IF(OR(ISBLANK(Exceptions[[#This Row],[Start]]),ISBLANK(Exceptions[[#This Row],[End]])),"",(Exceptions[[#This Row],[End]]-Exceptions[[#This Row],[Start]])*1440)</f>
        <v/>
      </c>
      <c r="J36" s="42" t="str">
        <f>IF(ISBLANK(Exceptions[[#This Row],[Date]]),"",IF(Exceptions[[#This Row],[Activity]]="Instruction",Exceptions[[#This Row],[Elapsed]],0))</f>
        <v/>
      </c>
      <c r="K36" s="42" t="str">
        <f>IF(ISBLANK(Exceptions[[#This Row],[Activity]]),"",IF(_xlfn.XLOOKUP(Exceptions[[#This Row],[Activity]],Types_of_Activity[Type of Activity],Types_of_Activity[Classification])=2,Exceptions[[#This Row],[Elapsed]],0))</f>
        <v/>
      </c>
    </row>
    <row r="37" spans="2:11" x14ac:dyDescent="0.3">
      <c r="B37" t="str">
        <f>TEXT(Exceptions[[#This Row],[Date]],"MMMM")</f>
        <v>January</v>
      </c>
      <c r="C37" s="145"/>
      <c r="D37" s="135"/>
      <c r="E37" s="135"/>
      <c r="F37" s="102"/>
      <c r="G37" s="102"/>
      <c r="H37" s="102"/>
      <c r="I37" s="42" t="str">
        <f>IF(OR(ISBLANK(Exceptions[[#This Row],[Start]]),ISBLANK(Exceptions[[#This Row],[End]])),"",(Exceptions[[#This Row],[End]]-Exceptions[[#This Row],[Start]])*1440)</f>
        <v/>
      </c>
      <c r="J37" s="42" t="str">
        <f>IF(ISBLANK(Exceptions[[#This Row],[Date]]),"",IF(Exceptions[[#This Row],[Activity]]="Instruction",Exceptions[[#This Row],[Elapsed]],0))</f>
        <v/>
      </c>
      <c r="K37" s="42" t="str">
        <f>IF(ISBLANK(Exceptions[[#This Row],[Activity]]),"",IF(_xlfn.XLOOKUP(Exceptions[[#This Row],[Activity]],Types_of_Activity[Type of Activity],Types_of_Activity[Classification])=2,Exceptions[[#This Row],[Elapsed]],0))</f>
        <v/>
      </c>
    </row>
    <row r="38" spans="2:11" x14ac:dyDescent="0.3">
      <c r="B38" t="str">
        <f>TEXT(Exceptions[[#This Row],[Date]],"MMMM")</f>
        <v>January</v>
      </c>
      <c r="C38" s="145"/>
      <c r="D38" s="135"/>
      <c r="E38" s="135"/>
      <c r="F38" s="102"/>
      <c r="G38" s="102"/>
      <c r="H38" s="102"/>
      <c r="I38" s="42" t="str">
        <f>IF(OR(ISBLANK(Exceptions[[#This Row],[Start]]),ISBLANK(Exceptions[[#This Row],[End]])),"",(Exceptions[[#This Row],[End]]-Exceptions[[#This Row],[Start]])*1440)</f>
        <v/>
      </c>
      <c r="J38" s="42" t="str">
        <f>IF(ISBLANK(Exceptions[[#This Row],[Date]]),"",IF(Exceptions[[#This Row],[Activity]]="Instruction",Exceptions[[#This Row],[Elapsed]],0))</f>
        <v/>
      </c>
      <c r="K38" s="42" t="str">
        <f>IF(ISBLANK(Exceptions[[#This Row],[Activity]]),"",IF(_xlfn.XLOOKUP(Exceptions[[#This Row],[Activity]],Types_of_Activity[Type of Activity],Types_of_Activity[Classification])=2,Exceptions[[#This Row],[Elapsed]],0))</f>
        <v/>
      </c>
    </row>
    <row r="39" spans="2:11" x14ac:dyDescent="0.3">
      <c r="B39" t="str">
        <f>TEXT(Exceptions[[#This Row],[Date]],"MMMM")</f>
        <v>January</v>
      </c>
      <c r="C39" s="145"/>
      <c r="D39" s="135"/>
      <c r="E39" s="135"/>
      <c r="F39" s="102"/>
      <c r="G39" s="102"/>
      <c r="H39" s="102"/>
      <c r="I39" s="42" t="str">
        <f>IF(OR(ISBLANK(Exceptions[[#This Row],[Start]]),ISBLANK(Exceptions[[#This Row],[End]])),"",(Exceptions[[#This Row],[End]]-Exceptions[[#This Row],[Start]])*1440)</f>
        <v/>
      </c>
      <c r="J39" s="42" t="str">
        <f>IF(ISBLANK(Exceptions[[#This Row],[Date]]),"",IF(Exceptions[[#This Row],[Activity]]="Instruction",Exceptions[[#This Row],[Elapsed]],0))</f>
        <v/>
      </c>
      <c r="K39" s="42" t="str">
        <f>IF(ISBLANK(Exceptions[[#This Row],[Activity]]),"",IF(_xlfn.XLOOKUP(Exceptions[[#This Row],[Activity]],Types_of_Activity[Type of Activity],Types_of_Activity[Classification])=2,Exceptions[[#This Row],[Elapsed]],0))</f>
        <v/>
      </c>
    </row>
    <row r="40" spans="2:11" x14ac:dyDescent="0.3">
      <c r="B40" t="str">
        <f>TEXT(Exceptions[[#This Row],[Date]],"MMMM")</f>
        <v>January</v>
      </c>
      <c r="C40" s="145"/>
      <c r="D40" s="135"/>
      <c r="E40" s="135"/>
      <c r="F40" s="102"/>
      <c r="G40" s="102"/>
      <c r="H40" s="102"/>
      <c r="I40" s="42" t="str">
        <f>IF(OR(ISBLANK(Exceptions[[#This Row],[Start]]),ISBLANK(Exceptions[[#This Row],[End]])),"",(Exceptions[[#This Row],[End]]-Exceptions[[#This Row],[Start]])*1440)</f>
        <v/>
      </c>
      <c r="J40" s="42" t="str">
        <f>IF(ISBLANK(Exceptions[[#This Row],[Date]]),"",IF(Exceptions[[#This Row],[Activity]]="Instruction",Exceptions[[#This Row],[Elapsed]],0))</f>
        <v/>
      </c>
      <c r="K40" s="42" t="str">
        <f>IF(ISBLANK(Exceptions[[#This Row],[Activity]]),"",IF(_xlfn.XLOOKUP(Exceptions[[#This Row],[Activity]],Types_of_Activity[Type of Activity],Types_of_Activity[Classification])=2,Exceptions[[#This Row],[Elapsed]],0))</f>
        <v/>
      </c>
    </row>
    <row r="41" spans="2:11" x14ac:dyDescent="0.3">
      <c r="B41" t="str">
        <f>TEXT(Exceptions[[#This Row],[Date]],"MMMM")</f>
        <v>January</v>
      </c>
      <c r="C41" s="145"/>
      <c r="D41" s="135"/>
      <c r="E41" s="135"/>
      <c r="F41" s="102"/>
      <c r="G41" s="102"/>
      <c r="H41" s="102"/>
      <c r="I41" s="42" t="str">
        <f>IF(OR(ISBLANK(Exceptions[[#This Row],[Start]]),ISBLANK(Exceptions[[#This Row],[End]])),"",(Exceptions[[#This Row],[End]]-Exceptions[[#This Row],[Start]])*1440)</f>
        <v/>
      </c>
      <c r="J41" s="42" t="str">
        <f>IF(ISBLANK(Exceptions[[#This Row],[Date]]),"",IF(Exceptions[[#This Row],[Activity]]="Instruction",Exceptions[[#This Row],[Elapsed]],0))</f>
        <v/>
      </c>
      <c r="K41" s="42" t="str">
        <f>IF(ISBLANK(Exceptions[[#This Row],[Activity]]),"",IF(_xlfn.XLOOKUP(Exceptions[[#This Row],[Activity]],Types_of_Activity[Type of Activity],Types_of_Activity[Classification])=2,Exceptions[[#This Row],[Elapsed]],0))</f>
        <v/>
      </c>
    </row>
    <row r="42" spans="2:11" x14ac:dyDescent="0.3">
      <c r="B42" t="str">
        <f>TEXT(Exceptions[[#This Row],[Date]],"MMMM")</f>
        <v>January</v>
      </c>
      <c r="C42" s="145"/>
      <c r="D42" s="135"/>
      <c r="E42" s="135"/>
      <c r="F42" s="102"/>
      <c r="G42" s="102"/>
      <c r="H42" s="102"/>
      <c r="I42" s="42" t="str">
        <f>IF(OR(ISBLANK(Exceptions[[#This Row],[Start]]),ISBLANK(Exceptions[[#This Row],[End]])),"",(Exceptions[[#This Row],[End]]-Exceptions[[#This Row],[Start]])*1440)</f>
        <v/>
      </c>
      <c r="J42" s="42" t="str">
        <f>IF(ISBLANK(Exceptions[[#This Row],[Date]]),"",IF(Exceptions[[#This Row],[Activity]]="Instruction",Exceptions[[#This Row],[Elapsed]],0))</f>
        <v/>
      </c>
      <c r="K42" s="42" t="str">
        <f>IF(ISBLANK(Exceptions[[#This Row],[Activity]]),"",IF(_xlfn.XLOOKUP(Exceptions[[#This Row],[Activity]],Types_of_Activity[Type of Activity],Types_of_Activity[Classification])=2,Exceptions[[#This Row],[Elapsed]],0))</f>
        <v/>
      </c>
    </row>
    <row r="43" spans="2:11" x14ac:dyDescent="0.3">
      <c r="B43" t="str">
        <f>TEXT(Exceptions[[#This Row],[Date]],"MMMM")</f>
        <v>January</v>
      </c>
      <c r="C43" s="145"/>
      <c r="D43" s="135"/>
      <c r="E43" s="135"/>
      <c r="F43" s="102"/>
      <c r="G43" s="102"/>
      <c r="H43" s="102"/>
      <c r="I43" s="42" t="str">
        <f>IF(OR(ISBLANK(Exceptions[[#This Row],[Start]]),ISBLANK(Exceptions[[#This Row],[End]])),"",(Exceptions[[#This Row],[End]]-Exceptions[[#This Row],[Start]])*1440)</f>
        <v/>
      </c>
      <c r="J43" s="42" t="str">
        <f>IF(ISBLANK(Exceptions[[#This Row],[Date]]),"",IF(Exceptions[[#This Row],[Activity]]="Instruction",Exceptions[[#This Row],[Elapsed]],0))</f>
        <v/>
      </c>
      <c r="K43" s="42" t="str">
        <f>IF(ISBLANK(Exceptions[[#This Row],[Activity]]),"",IF(_xlfn.XLOOKUP(Exceptions[[#This Row],[Activity]],Types_of_Activity[Type of Activity],Types_of_Activity[Classification])=2,Exceptions[[#This Row],[Elapsed]],0))</f>
        <v/>
      </c>
    </row>
    <row r="44" spans="2:11" x14ac:dyDescent="0.3">
      <c r="B44" t="str">
        <f>TEXT(Exceptions[[#This Row],[Date]],"MMMM")</f>
        <v>January</v>
      </c>
      <c r="C44" s="145"/>
      <c r="D44" s="135"/>
      <c r="E44" s="135"/>
      <c r="F44" s="102"/>
      <c r="G44" s="102"/>
      <c r="H44" s="102"/>
      <c r="I44" s="42" t="str">
        <f>IF(OR(ISBLANK(Exceptions[[#This Row],[Start]]),ISBLANK(Exceptions[[#This Row],[End]])),"",(Exceptions[[#This Row],[End]]-Exceptions[[#This Row],[Start]])*1440)</f>
        <v/>
      </c>
      <c r="J44" s="42" t="str">
        <f>IF(ISBLANK(Exceptions[[#This Row],[Date]]),"",IF(Exceptions[[#This Row],[Activity]]="Instruction",Exceptions[[#This Row],[Elapsed]],0))</f>
        <v/>
      </c>
      <c r="K44" s="42" t="str">
        <f>IF(ISBLANK(Exceptions[[#This Row],[Activity]]),"",IF(_xlfn.XLOOKUP(Exceptions[[#This Row],[Activity]],Types_of_Activity[Type of Activity],Types_of_Activity[Classification])=2,Exceptions[[#This Row],[Elapsed]],0))</f>
        <v/>
      </c>
    </row>
    <row r="45" spans="2:11" x14ac:dyDescent="0.3">
      <c r="B45" t="str">
        <f>TEXT(Exceptions[[#This Row],[Date]],"MMMM")</f>
        <v>January</v>
      </c>
      <c r="C45" s="145"/>
      <c r="D45" s="135"/>
      <c r="E45" s="135"/>
      <c r="F45" s="102"/>
      <c r="G45" s="102"/>
      <c r="H45" s="102"/>
      <c r="I45" s="42" t="str">
        <f>IF(OR(ISBLANK(Exceptions[[#This Row],[Start]]),ISBLANK(Exceptions[[#This Row],[End]])),"",(Exceptions[[#This Row],[End]]-Exceptions[[#This Row],[Start]])*1440)</f>
        <v/>
      </c>
      <c r="J45" s="42" t="str">
        <f>IF(ISBLANK(Exceptions[[#This Row],[Date]]),"",IF(Exceptions[[#This Row],[Activity]]="Instruction",Exceptions[[#This Row],[Elapsed]],0))</f>
        <v/>
      </c>
      <c r="K45" s="42" t="str">
        <f>IF(ISBLANK(Exceptions[[#This Row],[Activity]]),"",IF(_xlfn.XLOOKUP(Exceptions[[#This Row],[Activity]],Types_of_Activity[Type of Activity],Types_of_Activity[Classification])=2,Exceptions[[#This Row],[Elapsed]],0))</f>
        <v/>
      </c>
    </row>
    <row r="46" spans="2:11" x14ac:dyDescent="0.3">
      <c r="B46" t="str">
        <f>TEXT(Exceptions[[#This Row],[Date]],"MMMM")</f>
        <v>January</v>
      </c>
      <c r="C46" s="145"/>
      <c r="D46" s="135"/>
      <c r="E46" s="135"/>
      <c r="F46" s="102"/>
      <c r="G46" s="102"/>
      <c r="H46" s="102"/>
      <c r="I46" s="42" t="str">
        <f>IF(OR(ISBLANK(Exceptions[[#This Row],[Start]]),ISBLANK(Exceptions[[#This Row],[End]])),"",(Exceptions[[#This Row],[End]]-Exceptions[[#This Row],[Start]])*1440)</f>
        <v/>
      </c>
      <c r="J46" s="42" t="str">
        <f>IF(ISBLANK(Exceptions[[#This Row],[Date]]),"",IF(Exceptions[[#This Row],[Activity]]="Instruction",Exceptions[[#This Row],[Elapsed]],0))</f>
        <v/>
      </c>
      <c r="K46" s="42" t="str">
        <f>IF(ISBLANK(Exceptions[[#This Row],[Activity]]),"",IF(_xlfn.XLOOKUP(Exceptions[[#This Row],[Activity]],Types_of_Activity[Type of Activity],Types_of_Activity[Classification])=2,Exceptions[[#This Row],[Elapsed]],0))</f>
        <v/>
      </c>
    </row>
    <row r="47" spans="2:11" x14ac:dyDescent="0.3">
      <c r="B47" t="str">
        <f>TEXT(Exceptions[[#This Row],[Date]],"MMMM")</f>
        <v>January</v>
      </c>
      <c r="C47" s="145"/>
      <c r="D47" s="135"/>
      <c r="E47" s="135"/>
      <c r="F47" s="102"/>
      <c r="G47" s="102"/>
      <c r="H47" s="102"/>
      <c r="I47" s="42" t="str">
        <f>IF(OR(ISBLANK(Exceptions[[#This Row],[Start]]),ISBLANK(Exceptions[[#This Row],[End]])),"",(Exceptions[[#This Row],[End]]-Exceptions[[#This Row],[Start]])*1440)</f>
        <v/>
      </c>
      <c r="J47" s="42" t="str">
        <f>IF(ISBLANK(Exceptions[[#This Row],[Date]]),"",IF(Exceptions[[#This Row],[Activity]]="Instruction",Exceptions[[#This Row],[Elapsed]],0))</f>
        <v/>
      </c>
      <c r="K47" s="42" t="str">
        <f>IF(ISBLANK(Exceptions[[#This Row],[Activity]]),"",IF(_xlfn.XLOOKUP(Exceptions[[#This Row],[Activity]],Types_of_Activity[Type of Activity],Types_of_Activity[Classification])=2,Exceptions[[#This Row],[Elapsed]],0))</f>
        <v/>
      </c>
    </row>
    <row r="48" spans="2:11" x14ac:dyDescent="0.3">
      <c r="B48" t="str">
        <f>TEXT(Exceptions[[#This Row],[Date]],"MMMM")</f>
        <v>January</v>
      </c>
      <c r="C48" s="145"/>
      <c r="D48" s="135"/>
      <c r="E48" s="135"/>
      <c r="F48" s="102"/>
      <c r="G48" s="102"/>
      <c r="H48" s="102"/>
      <c r="I48" s="42" t="str">
        <f>IF(OR(ISBLANK(Exceptions[[#This Row],[Start]]),ISBLANK(Exceptions[[#This Row],[End]])),"",(Exceptions[[#This Row],[End]]-Exceptions[[#This Row],[Start]])*1440)</f>
        <v/>
      </c>
      <c r="J48" s="42" t="str">
        <f>IF(ISBLANK(Exceptions[[#This Row],[Date]]),"",IF(Exceptions[[#This Row],[Activity]]="Instruction",Exceptions[[#This Row],[Elapsed]],0))</f>
        <v/>
      </c>
      <c r="K48" s="42" t="str">
        <f>IF(ISBLANK(Exceptions[[#This Row],[Activity]]),"",IF(_xlfn.XLOOKUP(Exceptions[[#This Row],[Activity]],Types_of_Activity[Type of Activity],Types_of_Activity[Classification])=2,Exceptions[[#This Row],[Elapsed]],0))</f>
        <v/>
      </c>
    </row>
    <row r="49" spans="2:11" x14ac:dyDescent="0.3">
      <c r="B49" t="str">
        <f>TEXT(Exceptions[[#This Row],[Date]],"MMMM")</f>
        <v>January</v>
      </c>
      <c r="C49" s="145"/>
      <c r="D49" s="135"/>
      <c r="E49" s="135"/>
      <c r="F49" s="102"/>
      <c r="G49" s="102"/>
      <c r="H49" s="102"/>
      <c r="I49" s="42" t="str">
        <f>IF(OR(ISBLANK(Exceptions[[#This Row],[Start]]),ISBLANK(Exceptions[[#This Row],[End]])),"",(Exceptions[[#This Row],[End]]-Exceptions[[#This Row],[Start]])*1440)</f>
        <v/>
      </c>
      <c r="J49" s="42" t="str">
        <f>IF(ISBLANK(Exceptions[[#This Row],[Date]]),"",IF(Exceptions[[#This Row],[Activity]]="Instruction",Exceptions[[#This Row],[Elapsed]],0))</f>
        <v/>
      </c>
      <c r="K49" s="42" t="str">
        <f>IF(ISBLANK(Exceptions[[#This Row],[Activity]]),"",IF(_xlfn.XLOOKUP(Exceptions[[#This Row],[Activity]],Types_of_Activity[Type of Activity],Types_of_Activity[Classification])=2,Exceptions[[#This Row],[Elapsed]],0))</f>
        <v/>
      </c>
    </row>
    <row r="50" spans="2:11" x14ac:dyDescent="0.3">
      <c r="B50" t="str">
        <f>TEXT(Exceptions[[#This Row],[Date]],"MMMM")</f>
        <v>January</v>
      </c>
      <c r="C50" s="145"/>
      <c r="D50" s="135"/>
      <c r="E50" s="135"/>
      <c r="F50" s="102"/>
      <c r="G50" s="102"/>
      <c r="H50" s="102"/>
      <c r="I50" s="42" t="str">
        <f>IF(OR(ISBLANK(Exceptions[[#This Row],[Start]]),ISBLANK(Exceptions[[#This Row],[End]])),"",(Exceptions[[#This Row],[End]]-Exceptions[[#This Row],[Start]])*1440)</f>
        <v/>
      </c>
      <c r="J50" s="42" t="str">
        <f>IF(ISBLANK(Exceptions[[#This Row],[Date]]),"",IF(Exceptions[[#This Row],[Activity]]="Instruction",Exceptions[[#This Row],[Elapsed]],0))</f>
        <v/>
      </c>
      <c r="K50" s="42" t="str">
        <f>IF(ISBLANK(Exceptions[[#This Row],[Activity]]),"",IF(_xlfn.XLOOKUP(Exceptions[[#This Row],[Activity]],Types_of_Activity[Type of Activity],Types_of_Activity[Classification])=2,Exceptions[[#This Row],[Elapsed]],0))</f>
        <v/>
      </c>
    </row>
    <row r="51" spans="2:11" x14ac:dyDescent="0.3">
      <c r="B51" t="str">
        <f>TEXT(Exceptions[[#This Row],[Date]],"MMMM")</f>
        <v>January</v>
      </c>
      <c r="C51" s="145"/>
      <c r="D51" s="135"/>
      <c r="E51" s="135"/>
      <c r="F51" s="102"/>
      <c r="G51" s="102"/>
      <c r="H51" s="102"/>
      <c r="I51" s="42" t="str">
        <f>IF(OR(ISBLANK(Exceptions[[#This Row],[Start]]),ISBLANK(Exceptions[[#This Row],[End]])),"",(Exceptions[[#This Row],[End]]-Exceptions[[#This Row],[Start]])*1440)</f>
        <v/>
      </c>
      <c r="J51" s="42" t="str">
        <f>IF(ISBLANK(Exceptions[[#This Row],[Date]]),"",IF(Exceptions[[#This Row],[Activity]]="Instruction",Exceptions[[#This Row],[Elapsed]],0))</f>
        <v/>
      </c>
      <c r="K51" s="42" t="str">
        <f>IF(ISBLANK(Exceptions[[#This Row],[Activity]]),"",IF(_xlfn.XLOOKUP(Exceptions[[#This Row],[Activity]],Types_of_Activity[Type of Activity],Types_of_Activity[Classification])=2,Exceptions[[#This Row],[Elapsed]],0))</f>
        <v/>
      </c>
    </row>
    <row r="52" spans="2:11" x14ac:dyDescent="0.3">
      <c r="B52" t="str">
        <f>TEXT(Exceptions[[#This Row],[Date]],"MMMM")</f>
        <v>January</v>
      </c>
      <c r="C52" s="145"/>
      <c r="D52" s="135"/>
      <c r="E52" s="135"/>
      <c r="F52" s="102"/>
      <c r="G52" s="102"/>
      <c r="H52" s="102"/>
      <c r="I52" s="42" t="str">
        <f>IF(OR(ISBLANK(Exceptions[[#This Row],[Start]]),ISBLANK(Exceptions[[#This Row],[End]])),"",(Exceptions[[#This Row],[End]]-Exceptions[[#This Row],[Start]])*1440)</f>
        <v/>
      </c>
      <c r="J52" s="42" t="str">
        <f>IF(ISBLANK(Exceptions[[#This Row],[Date]]),"",IF(Exceptions[[#This Row],[Activity]]="Instruction",Exceptions[[#This Row],[Elapsed]],0))</f>
        <v/>
      </c>
      <c r="K52" s="42" t="str">
        <f>IF(ISBLANK(Exceptions[[#This Row],[Activity]]),"",IF(_xlfn.XLOOKUP(Exceptions[[#This Row],[Activity]],Types_of_Activity[Type of Activity],Types_of_Activity[Classification])=2,Exceptions[[#This Row],[Elapsed]],0))</f>
        <v/>
      </c>
    </row>
    <row r="53" spans="2:11" x14ac:dyDescent="0.3">
      <c r="B53" t="str">
        <f>TEXT(Exceptions[[#This Row],[Date]],"MMMM")</f>
        <v>January</v>
      </c>
      <c r="C53" s="145"/>
      <c r="D53" s="135"/>
      <c r="E53" s="135"/>
      <c r="F53" s="102"/>
      <c r="G53" s="102"/>
      <c r="H53" s="102"/>
      <c r="I53" s="42" t="str">
        <f>IF(OR(ISBLANK(Exceptions[[#This Row],[Start]]),ISBLANK(Exceptions[[#This Row],[End]])),"",(Exceptions[[#This Row],[End]]-Exceptions[[#This Row],[Start]])*1440)</f>
        <v/>
      </c>
      <c r="J53" s="42" t="str">
        <f>IF(ISBLANK(Exceptions[[#This Row],[Date]]),"",IF(Exceptions[[#This Row],[Activity]]="Instruction",Exceptions[[#This Row],[Elapsed]],0))</f>
        <v/>
      </c>
      <c r="K53" s="42" t="str">
        <f>IF(ISBLANK(Exceptions[[#This Row],[Activity]]),"",IF(_xlfn.XLOOKUP(Exceptions[[#This Row],[Activity]],Types_of_Activity[Type of Activity],Types_of_Activity[Classification])=2,Exceptions[[#This Row],[Elapsed]],0))</f>
        <v/>
      </c>
    </row>
    <row r="54" spans="2:11" x14ac:dyDescent="0.3">
      <c r="B54" t="str">
        <f>TEXT(Exceptions[[#This Row],[Date]],"MMMM")</f>
        <v>January</v>
      </c>
      <c r="C54" s="145"/>
      <c r="D54" s="135"/>
      <c r="E54" s="135"/>
      <c r="F54" s="102"/>
      <c r="G54" s="102"/>
      <c r="H54" s="102"/>
      <c r="I54" s="42" t="str">
        <f>IF(OR(ISBLANK(Exceptions[[#This Row],[Start]]),ISBLANK(Exceptions[[#This Row],[End]])),"",(Exceptions[[#This Row],[End]]-Exceptions[[#This Row],[Start]])*1440)</f>
        <v/>
      </c>
      <c r="J54" s="42" t="str">
        <f>IF(ISBLANK(Exceptions[[#This Row],[Date]]),"",IF(Exceptions[[#This Row],[Activity]]="Instruction",Exceptions[[#This Row],[Elapsed]],0))</f>
        <v/>
      </c>
      <c r="K54" s="42" t="str">
        <f>IF(ISBLANK(Exceptions[[#This Row],[Activity]]),"",IF(_xlfn.XLOOKUP(Exceptions[[#This Row],[Activity]],Types_of_Activity[Type of Activity],Types_of_Activity[Classification])=2,Exceptions[[#This Row],[Elapsed]],0))</f>
        <v/>
      </c>
    </row>
    <row r="55" spans="2:11" x14ac:dyDescent="0.3">
      <c r="B55" t="str">
        <f>TEXT(Exceptions[[#This Row],[Date]],"MMMM")</f>
        <v>January</v>
      </c>
      <c r="C55" s="145"/>
      <c r="D55" s="135"/>
      <c r="E55" s="135"/>
      <c r="F55" s="102"/>
      <c r="G55" s="102"/>
      <c r="H55" s="102"/>
      <c r="I55" s="42" t="str">
        <f>IF(OR(ISBLANK(Exceptions[[#This Row],[Start]]),ISBLANK(Exceptions[[#This Row],[End]])),"",(Exceptions[[#This Row],[End]]-Exceptions[[#This Row],[Start]])*1440)</f>
        <v/>
      </c>
      <c r="J55" s="42" t="str">
        <f>IF(ISBLANK(Exceptions[[#This Row],[Date]]),"",IF(Exceptions[[#This Row],[Activity]]="Instruction",Exceptions[[#This Row],[Elapsed]],0))</f>
        <v/>
      </c>
      <c r="K55" s="42" t="str">
        <f>IF(ISBLANK(Exceptions[[#This Row],[Activity]]),"",IF(_xlfn.XLOOKUP(Exceptions[[#This Row],[Activity]],Types_of_Activity[Type of Activity],Types_of_Activity[Classification])=2,Exceptions[[#This Row],[Elapsed]],0))</f>
        <v/>
      </c>
    </row>
    <row r="56" spans="2:11" x14ac:dyDescent="0.3">
      <c r="B56" t="str">
        <f>TEXT(Exceptions[[#This Row],[Date]],"MMMM")</f>
        <v>January</v>
      </c>
      <c r="C56" s="145"/>
      <c r="D56" s="135"/>
      <c r="E56" s="135"/>
      <c r="F56" s="102"/>
      <c r="G56" s="102"/>
      <c r="H56" s="102"/>
      <c r="I56" s="42" t="str">
        <f>IF(OR(ISBLANK(Exceptions[[#This Row],[Start]]),ISBLANK(Exceptions[[#This Row],[End]])),"",(Exceptions[[#This Row],[End]]-Exceptions[[#This Row],[Start]])*1440)</f>
        <v/>
      </c>
      <c r="J56" s="42" t="str">
        <f>IF(ISBLANK(Exceptions[[#This Row],[Date]]),"",IF(Exceptions[[#This Row],[Activity]]="Instruction",Exceptions[[#This Row],[Elapsed]],0))</f>
        <v/>
      </c>
      <c r="K56" s="42" t="str">
        <f>IF(ISBLANK(Exceptions[[#This Row],[Activity]]),"",IF(_xlfn.XLOOKUP(Exceptions[[#This Row],[Activity]],Types_of_Activity[Type of Activity],Types_of_Activity[Classification])=2,Exceptions[[#This Row],[Elapsed]],0))</f>
        <v/>
      </c>
    </row>
    <row r="57" spans="2:11" x14ac:dyDescent="0.3">
      <c r="B57" t="str">
        <f>TEXT(Exceptions[[#This Row],[Date]],"MMMM")</f>
        <v>January</v>
      </c>
      <c r="C57" s="145"/>
      <c r="D57" s="135"/>
      <c r="E57" s="135"/>
      <c r="F57" s="102"/>
      <c r="G57" s="102"/>
      <c r="H57" s="102"/>
      <c r="I57" s="42" t="str">
        <f>IF(OR(ISBLANK(Exceptions[[#This Row],[Start]]),ISBLANK(Exceptions[[#This Row],[End]])),"",(Exceptions[[#This Row],[End]]-Exceptions[[#This Row],[Start]])*1440)</f>
        <v/>
      </c>
      <c r="J57" s="42" t="str">
        <f>IF(ISBLANK(Exceptions[[#This Row],[Date]]),"",IF(Exceptions[[#This Row],[Activity]]="Instruction",Exceptions[[#This Row],[Elapsed]],0))</f>
        <v/>
      </c>
      <c r="K57" s="42" t="str">
        <f>IF(ISBLANK(Exceptions[[#This Row],[Activity]]),"",IF(_xlfn.XLOOKUP(Exceptions[[#This Row],[Activity]],Types_of_Activity[Type of Activity],Types_of_Activity[Classification])=2,Exceptions[[#This Row],[Elapsed]],0))</f>
        <v/>
      </c>
    </row>
    <row r="58" spans="2:11" x14ac:dyDescent="0.3">
      <c r="B58" t="str">
        <f>TEXT(Exceptions[[#This Row],[Date]],"MMMM")</f>
        <v>January</v>
      </c>
      <c r="C58" s="145"/>
      <c r="D58" s="135"/>
      <c r="E58" s="135"/>
      <c r="F58" s="102"/>
      <c r="G58" s="102"/>
      <c r="H58" s="102"/>
      <c r="I58" s="42" t="str">
        <f>IF(OR(ISBLANK(Exceptions[[#This Row],[Start]]),ISBLANK(Exceptions[[#This Row],[End]])),"",(Exceptions[[#This Row],[End]]-Exceptions[[#This Row],[Start]])*1440)</f>
        <v/>
      </c>
      <c r="J58" s="42" t="str">
        <f>IF(ISBLANK(Exceptions[[#This Row],[Date]]),"",IF(Exceptions[[#This Row],[Activity]]="Instruction",Exceptions[[#This Row],[Elapsed]],0))</f>
        <v/>
      </c>
      <c r="K58" s="42" t="str">
        <f>IF(ISBLANK(Exceptions[[#This Row],[Activity]]),"",IF(_xlfn.XLOOKUP(Exceptions[[#This Row],[Activity]],Types_of_Activity[Type of Activity],Types_of_Activity[Classification])=2,Exceptions[[#This Row],[Elapsed]],0))</f>
        <v/>
      </c>
    </row>
    <row r="59" spans="2:11" x14ac:dyDescent="0.3">
      <c r="B59" t="str">
        <f>TEXT(Exceptions[[#This Row],[Date]],"MMMM")</f>
        <v>January</v>
      </c>
      <c r="C59" s="145"/>
      <c r="D59" s="135"/>
      <c r="E59" s="135"/>
      <c r="F59" s="102"/>
      <c r="G59" s="102"/>
      <c r="H59" s="102"/>
      <c r="I59" s="42" t="str">
        <f>IF(OR(ISBLANK(Exceptions[[#This Row],[Start]]),ISBLANK(Exceptions[[#This Row],[End]])),"",(Exceptions[[#This Row],[End]]-Exceptions[[#This Row],[Start]])*1440)</f>
        <v/>
      </c>
      <c r="J59" s="42" t="str">
        <f>IF(ISBLANK(Exceptions[[#This Row],[Date]]),"",IF(Exceptions[[#This Row],[Activity]]="Instruction",Exceptions[[#This Row],[Elapsed]],0))</f>
        <v/>
      </c>
      <c r="K59" s="42" t="str">
        <f>IF(ISBLANK(Exceptions[[#This Row],[Activity]]),"",IF(_xlfn.XLOOKUP(Exceptions[[#This Row],[Activity]],Types_of_Activity[Type of Activity],Types_of_Activity[Classification])=2,Exceptions[[#This Row],[Elapsed]],0))</f>
        <v/>
      </c>
    </row>
    <row r="60" spans="2:11" x14ac:dyDescent="0.3">
      <c r="B60" t="str">
        <f>TEXT(Exceptions[[#This Row],[Date]],"MMMM")</f>
        <v>January</v>
      </c>
      <c r="C60" s="145"/>
      <c r="D60" s="135"/>
      <c r="E60" s="135"/>
      <c r="F60" s="102"/>
      <c r="G60" s="102"/>
      <c r="H60" s="102"/>
      <c r="I60" s="42" t="str">
        <f>IF(OR(ISBLANK(Exceptions[[#This Row],[Start]]),ISBLANK(Exceptions[[#This Row],[End]])),"",(Exceptions[[#This Row],[End]]-Exceptions[[#This Row],[Start]])*1440)</f>
        <v/>
      </c>
      <c r="J60" s="42" t="str">
        <f>IF(ISBLANK(Exceptions[[#This Row],[Date]]),"",IF(Exceptions[[#This Row],[Activity]]="Instruction",Exceptions[[#This Row],[Elapsed]],0))</f>
        <v/>
      </c>
      <c r="K60" s="42" t="str">
        <f>IF(ISBLANK(Exceptions[[#This Row],[Activity]]),"",IF(_xlfn.XLOOKUP(Exceptions[[#This Row],[Activity]],Types_of_Activity[Type of Activity],Types_of_Activity[Classification])=2,Exceptions[[#This Row],[Elapsed]],0))</f>
        <v/>
      </c>
    </row>
    <row r="61" spans="2:11" x14ac:dyDescent="0.3">
      <c r="B61" t="str">
        <f>TEXT(Exceptions[[#This Row],[Date]],"MMMM")</f>
        <v>January</v>
      </c>
      <c r="C61" s="145"/>
      <c r="D61" s="135"/>
      <c r="E61" s="135"/>
      <c r="F61" s="102"/>
      <c r="G61" s="102"/>
      <c r="H61" s="102"/>
      <c r="I61" s="42" t="str">
        <f>IF(OR(ISBLANK(Exceptions[[#This Row],[Start]]),ISBLANK(Exceptions[[#This Row],[End]])),"",(Exceptions[[#This Row],[End]]-Exceptions[[#This Row],[Start]])*1440)</f>
        <v/>
      </c>
      <c r="J61" s="42" t="str">
        <f>IF(ISBLANK(Exceptions[[#This Row],[Date]]),"",IF(Exceptions[[#This Row],[Activity]]="Instruction",Exceptions[[#This Row],[Elapsed]],0))</f>
        <v/>
      </c>
      <c r="K61" s="42" t="str">
        <f>IF(ISBLANK(Exceptions[[#This Row],[Activity]]),"",IF(_xlfn.XLOOKUP(Exceptions[[#This Row],[Activity]],Types_of_Activity[Type of Activity],Types_of_Activity[Classification])=2,Exceptions[[#This Row],[Elapsed]],0))</f>
        <v/>
      </c>
    </row>
    <row r="62" spans="2:11" x14ac:dyDescent="0.3">
      <c r="B62" t="str">
        <f>TEXT(Exceptions[[#This Row],[Date]],"MMMM")</f>
        <v>January</v>
      </c>
      <c r="C62" s="145"/>
      <c r="D62" s="135"/>
      <c r="E62" s="135"/>
      <c r="F62" s="102"/>
      <c r="G62" s="102"/>
      <c r="H62" s="102"/>
      <c r="I62" s="42" t="str">
        <f>IF(OR(ISBLANK(Exceptions[[#This Row],[Start]]),ISBLANK(Exceptions[[#This Row],[End]])),"",(Exceptions[[#This Row],[End]]-Exceptions[[#This Row],[Start]])*1440)</f>
        <v/>
      </c>
      <c r="J62" s="42" t="str">
        <f>IF(ISBLANK(Exceptions[[#This Row],[Date]]),"",IF(Exceptions[[#This Row],[Activity]]="Instruction",Exceptions[[#This Row],[Elapsed]],0))</f>
        <v/>
      </c>
      <c r="K62" s="42" t="str">
        <f>IF(ISBLANK(Exceptions[[#This Row],[Activity]]),"",IF(_xlfn.XLOOKUP(Exceptions[[#This Row],[Activity]],Types_of_Activity[Type of Activity],Types_of_Activity[Classification])=2,Exceptions[[#This Row],[Elapsed]],0))</f>
        <v/>
      </c>
    </row>
    <row r="63" spans="2:11" x14ac:dyDescent="0.3">
      <c r="B63" t="str">
        <f>TEXT(Exceptions[[#This Row],[Date]],"MMMM")</f>
        <v>January</v>
      </c>
      <c r="C63" s="145"/>
      <c r="D63" s="135"/>
      <c r="E63" s="135"/>
      <c r="F63" s="102"/>
      <c r="G63" s="102"/>
      <c r="H63" s="102"/>
      <c r="I63" s="42" t="str">
        <f>IF(OR(ISBLANK(Exceptions[[#This Row],[Start]]),ISBLANK(Exceptions[[#This Row],[End]])),"",(Exceptions[[#This Row],[End]]-Exceptions[[#This Row],[Start]])*1440)</f>
        <v/>
      </c>
      <c r="J63" s="42" t="str">
        <f>IF(ISBLANK(Exceptions[[#This Row],[Date]]),"",IF(Exceptions[[#This Row],[Activity]]="Instruction",Exceptions[[#This Row],[Elapsed]],0))</f>
        <v/>
      </c>
      <c r="K63" s="42" t="str">
        <f>IF(ISBLANK(Exceptions[[#This Row],[Activity]]),"",IF(_xlfn.XLOOKUP(Exceptions[[#This Row],[Activity]],Types_of_Activity[Type of Activity],Types_of_Activity[Classification])=2,Exceptions[[#This Row],[Elapsed]],0))</f>
        <v/>
      </c>
    </row>
    <row r="64" spans="2:11" x14ac:dyDescent="0.3">
      <c r="B64" t="str">
        <f>TEXT(Exceptions[[#This Row],[Date]],"MMMM")</f>
        <v>January</v>
      </c>
      <c r="C64" s="145"/>
      <c r="D64" s="135"/>
      <c r="E64" s="135"/>
      <c r="F64" s="102"/>
      <c r="G64" s="102"/>
      <c r="H64" s="102"/>
      <c r="I64" s="42" t="str">
        <f>IF(OR(ISBLANK(Exceptions[[#This Row],[Start]]),ISBLANK(Exceptions[[#This Row],[End]])),"",(Exceptions[[#This Row],[End]]-Exceptions[[#This Row],[Start]])*1440)</f>
        <v/>
      </c>
      <c r="J64" s="42" t="str">
        <f>IF(ISBLANK(Exceptions[[#This Row],[Date]]),"",IF(Exceptions[[#This Row],[Activity]]="Instruction",Exceptions[[#This Row],[Elapsed]],0))</f>
        <v/>
      </c>
      <c r="K64" s="42" t="str">
        <f>IF(ISBLANK(Exceptions[[#This Row],[Activity]]),"",IF(_xlfn.XLOOKUP(Exceptions[[#This Row],[Activity]],Types_of_Activity[Type of Activity],Types_of_Activity[Classification])=2,Exceptions[[#This Row],[Elapsed]],0))</f>
        <v/>
      </c>
    </row>
    <row r="65" spans="2:11" x14ac:dyDescent="0.3">
      <c r="B65" t="str">
        <f>TEXT(Exceptions[[#This Row],[Date]],"MMMM")</f>
        <v>January</v>
      </c>
      <c r="C65" s="145"/>
      <c r="D65" s="135"/>
      <c r="E65" s="135"/>
      <c r="F65" s="102"/>
      <c r="G65" s="102"/>
      <c r="H65" s="102"/>
      <c r="I65" s="42" t="str">
        <f>IF(OR(ISBLANK(Exceptions[[#This Row],[Start]]),ISBLANK(Exceptions[[#This Row],[End]])),"",(Exceptions[[#This Row],[End]]-Exceptions[[#This Row],[Start]])*1440)</f>
        <v/>
      </c>
      <c r="J65" s="42" t="str">
        <f>IF(ISBLANK(Exceptions[[#This Row],[Date]]),"",IF(Exceptions[[#This Row],[Activity]]="Instruction",Exceptions[[#This Row],[Elapsed]],0))</f>
        <v/>
      </c>
      <c r="K65" s="42" t="str">
        <f>IF(ISBLANK(Exceptions[[#This Row],[Activity]]),"",IF(_xlfn.XLOOKUP(Exceptions[[#This Row],[Activity]],Types_of_Activity[Type of Activity],Types_of_Activity[Classification])=2,Exceptions[[#This Row],[Elapsed]],0))</f>
        <v/>
      </c>
    </row>
    <row r="66" spans="2:11" x14ac:dyDescent="0.3">
      <c r="B66" t="str">
        <f>TEXT(Exceptions[[#This Row],[Date]],"MMMM")</f>
        <v>January</v>
      </c>
      <c r="C66" s="145"/>
      <c r="D66" s="135"/>
      <c r="E66" s="135"/>
      <c r="F66" s="102"/>
      <c r="G66" s="102"/>
      <c r="H66" s="102"/>
      <c r="I66" s="42" t="str">
        <f>IF(OR(ISBLANK(Exceptions[[#This Row],[Start]]),ISBLANK(Exceptions[[#This Row],[End]])),"",(Exceptions[[#This Row],[End]]-Exceptions[[#This Row],[Start]])*1440)</f>
        <v/>
      </c>
      <c r="J66" s="42" t="str">
        <f>IF(ISBLANK(Exceptions[[#This Row],[Date]]),"",IF(Exceptions[[#This Row],[Activity]]="Instruction",Exceptions[[#This Row],[Elapsed]],0))</f>
        <v/>
      </c>
      <c r="K66" s="42" t="str">
        <f>IF(ISBLANK(Exceptions[[#This Row],[Activity]]),"",IF(_xlfn.XLOOKUP(Exceptions[[#This Row],[Activity]],Types_of_Activity[Type of Activity],Types_of_Activity[Classification])=2,Exceptions[[#This Row],[Elapsed]],0))</f>
        <v/>
      </c>
    </row>
    <row r="67" spans="2:11" x14ac:dyDescent="0.3">
      <c r="B67" t="str">
        <f>TEXT(Exceptions[[#This Row],[Date]],"MMMM")</f>
        <v>January</v>
      </c>
      <c r="C67" s="145"/>
      <c r="D67" s="135"/>
      <c r="E67" s="135"/>
      <c r="F67" s="102"/>
      <c r="G67" s="102"/>
      <c r="H67" s="102"/>
      <c r="I67" s="42" t="str">
        <f>IF(OR(ISBLANK(Exceptions[[#This Row],[Start]]),ISBLANK(Exceptions[[#This Row],[End]])),"",(Exceptions[[#This Row],[End]]-Exceptions[[#This Row],[Start]])*1440)</f>
        <v/>
      </c>
      <c r="J67" s="42" t="str">
        <f>IF(ISBLANK(Exceptions[[#This Row],[Date]]),"",IF(Exceptions[[#This Row],[Activity]]="Instruction",Exceptions[[#This Row],[Elapsed]],0))</f>
        <v/>
      </c>
      <c r="K67" s="42" t="str">
        <f>IF(ISBLANK(Exceptions[[#This Row],[Activity]]),"",IF(_xlfn.XLOOKUP(Exceptions[[#This Row],[Activity]],Types_of_Activity[Type of Activity],Types_of_Activity[Classification])=2,Exceptions[[#This Row],[Elapsed]],0))</f>
        <v/>
      </c>
    </row>
    <row r="68" spans="2:11" x14ac:dyDescent="0.3">
      <c r="B68" t="str">
        <f>TEXT(Exceptions[[#This Row],[Date]],"MMMM")</f>
        <v>January</v>
      </c>
      <c r="C68" s="145"/>
      <c r="D68" s="135"/>
      <c r="E68" s="135"/>
      <c r="F68" s="102"/>
      <c r="G68" s="102"/>
      <c r="H68" s="102"/>
      <c r="I68" s="42" t="str">
        <f>IF(OR(ISBLANK(Exceptions[[#This Row],[Start]]),ISBLANK(Exceptions[[#This Row],[End]])),"",(Exceptions[[#This Row],[End]]-Exceptions[[#This Row],[Start]])*1440)</f>
        <v/>
      </c>
      <c r="J68" s="42" t="str">
        <f>IF(ISBLANK(Exceptions[[#This Row],[Date]]),"",IF(Exceptions[[#This Row],[Activity]]="Instruction",Exceptions[[#This Row],[Elapsed]],0))</f>
        <v/>
      </c>
      <c r="K68" s="42" t="str">
        <f>IF(ISBLANK(Exceptions[[#This Row],[Activity]]),"",IF(_xlfn.XLOOKUP(Exceptions[[#This Row],[Activity]],Types_of_Activity[Type of Activity],Types_of_Activity[Classification])=2,Exceptions[[#This Row],[Elapsed]],0))</f>
        <v/>
      </c>
    </row>
    <row r="69" spans="2:11" x14ac:dyDescent="0.3">
      <c r="B69" t="str">
        <f>TEXT(Exceptions[[#This Row],[Date]],"MMMM")</f>
        <v>January</v>
      </c>
      <c r="C69" s="145"/>
      <c r="D69" s="135"/>
      <c r="E69" s="135"/>
      <c r="F69" s="102"/>
      <c r="G69" s="102"/>
      <c r="H69" s="102"/>
      <c r="I69" s="42" t="str">
        <f>IF(OR(ISBLANK(Exceptions[[#This Row],[Start]]),ISBLANK(Exceptions[[#This Row],[End]])),"",(Exceptions[[#This Row],[End]]-Exceptions[[#This Row],[Start]])*1440)</f>
        <v/>
      </c>
      <c r="J69" s="42" t="str">
        <f>IF(ISBLANK(Exceptions[[#This Row],[Date]]),"",IF(Exceptions[[#This Row],[Activity]]="Instruction",Exceptions[[#This Row],[Elapsed]],0))</f>
        <v/>
      </c>
      <c r="K69" s="42" t="str">
        <f>IF(ISBLANK(Exceptions[[#This Row],[Activity]]),"",IF(_xlfn.XLOOKUP(Exceptions[[#This Row],[Activity]],Types_of_Activity[Type of Activity],Types_of_Activity[Classification])=2,Exceptions[[#This Row],[Elapsed]],0))</f>
        <v/>
      </c>
    </row>
    <row r="70" spans="2:11" x14ac:dyDescent="0.3">
      <c r="B70" t="str">
        <f>TEXT(Exceptions[[#This Row],[Date]],"MMMM")</f>
        <v>January</v>
      </c>
      <c r="C70" s="145"/>
      <c r="D70" s="135"/>
      <c r="E70" s="135"/>
      <c r="F70" s="102"/>
      <c r="G70" s="102"/>
      <c r="H70" s="102"/>
      <c r="I70" s="42" t="str">
        <f>IF(OR(ISBLANK(Exceptions[[#This Row],[Start]]),ISBLANK(Exceptions[[#This Row],[End]])),"",(Exceptions[[#This Row],[End]]-Exceptions[[#This Row],[Start]])*1440)</f>
        <v/>
      </c>
      <c r="J70" s="42" t="str">
        <f>IF(ISBLANK(Exceptions[[#This Row],[Date]]),"",IF(Exceptions[[#This Row],[Activity]]="Instruction",Exceptions[[#This Row],[Elapsed]],0))</f>
        <v/>
      </c>
      <c r="K70" s="42" t="str">
        <f>IF(ISBLANK(Exceptions[[#This Row],[Activity]]),"",IF(_xlfn.XLOOKUP(Exceptions[[#This Row],[Activity]],Types_of_Activity[Type of Activity],Types_of_Activity[Classification])=2,Exceptions[[#This Row],[Elapsed]],0))</f>
        <v/>
      </c>
    </row>
    <row r="71" spans="2:11" x14ac:dyDescent="0.3">
      <c r="B71" t="str">
        <f>TEXT(Exceptions[[#This Row],[Date]],"MMMM")</f>
        <v>January</v>
      </c>
      <c r="C71" s="145"/>
      <c r="D71" s="135"/>
      <c r="E71" s="135"/>
      <c r="F71" s="102"/>
      <c r="G71" s="102"/>
      <c r="H71" s="102"/>
      <c r="I71" s="42" t="str">
        <f>IF(OR(ISBLANK(Exceptions[[#This Row],[Start]]),ISBLANK(Exceptions[[#This Row],[End]])),"",(Exceptions[[#This Row],[End]]-Exceptions[[#This Row],[Start]])*1440)</f>
        <v/>
      </c>
      <c r="J71" s="42" t="str">
        <f>IF(ISBLANK(Exceptions[[#This Row],[Date]]),"",IF(Exceptions[[#This Row],[Activity]]="Instruction",Exceptions[[#This Row],[Elapsed]],0))</f>
        <v/>
      </c>
      <c r="K71" s="42" t="str">
        <f>IF(ISBLANK(Exceptions[[#This Row],[Activity]]),"",IF(_xlfn.XLOOKUP(Exceptions[[#This Row],[Activity]],Types_of_Activity[Type of Activity],Types_of_Activity[Classification])=2,Exceptions[[#This Row],[Elapsed]],0))</f>
        <v/>
      </c>
    </row>
    <row r="72" spans="2:11" x14ac:dyDescent="0.3">
      <c r="B72" t="str">
        <f>TEXT(Exceptions[[#This Row],[Date]],"MMMM")</f>
        <v>January</v>
      </c>
      <c r="C72" s="145"/>
      <c r="D72" s="135"/>
      <c r="E72" s="135"/>
      <c r="F72" s="102"/>
      <c r="G72" s="102"/>
      <c r="H72" s="102"/>
      <c r="I72" s="42" t="str">
        <f>IF(OR(ISBLANK(Exceptions[[#This Row],[Start]]),ISBLANK(Exceptions[[#This Row],[End]])),"",(Exceptions[[#This Row],[End]]-Exceptions[[#This Row],[Start]])*1440)</f>
        <v/>
      </c>
      <c r="J72" s="42" t="str">
        <f>IF(ISBLANK(Exceptions[[#This Row],[Date]]),"",IF(Exceptions[[#This Row],[Activity]]="Instruction",Exceptions[[#This Row],[Elapsed]],0))</f>
        <v/>
      </c>
      <c r="K72" s="42" t="str">
        <f>IF(ISBLANK(Exceptions[[#This Row],[Activity]]),"",IF(_xlfn.XLOOKUP(Exceptions[[#This Row],[Activity]],Types_of_Activity[Type of Activity],Types_of_Activity[Classification])=2,Exceptions[[#This Row],[Elapsed]],0))</f>
        <v/>
      </c>
    </row>
    <row r="73" spans="2:11" x14ac:dyDescent="0.3">
      <c r="B73" t="str">
        <f>TEXT(Exceptions[[#This Row],[Date]],"MMMM")</f>
        <v>January</v>
      </c>
      <c r="C73" s="145"/>
      <c r="D73" s="135"/>
      <c r="E73" s="135"/>
      <c r="F73" s="102"/>
      <c r="G73" s="102"/>
      <c r="H73" s="102"/>
      <c r="I73" s="42" t="str">
        <f>IF(OR(ISBLANK(Exceptions[[#This Row],[Start]]),ISBLANK(Exceptions[[#This Row],[End]])),"",(Exceptions[[#This Row],[End]]-Exceptions[[#This Row],[Start]])*1440)</f>
        <v/>
      </c>
      <c r="J73" s="42" t="str">
        <f>IF(ISBLANK(Exceptions[[#This Row],[Date]]),"",IF(Exceptions[[#This Row],[Activity]]="Instruction",Exceptions[[#This Row],[Elapsed]],0))</f>
        <v/>
      </c>
      <c r="K73" s="42" t="str">
        <f>IF(ISBLANK(Exceptions[[#This Row],[Activity]]),"",IF(_xlfn.XLOOKUP(Exceptions[[#This Row],[Activity]],Types_of_Activity[Type of Activity],Types_of_Activity[Classification])=2,Exceptions[[#This Row],[Elapsed]],0))</f>
        <v/>
      </c>
    </row>
    <row r="74" spans="2:11" x14ac:dyDescent="0.3">
      <c r="B74" t="str">
        <f>TEXT(Exceptions[[#This Row],[Date]],"MMMM")</f>
        <v>January</v>
      </c>
      <c r="C74" s="145"/>
      <c r="D74" s="135"/>
      <c r="E74" s="135"/>
      <c r="F74" s="102"/>
      <c r="G74" s="102"/>
      <c r="H74" s="102"/>
      <c r="I74" s="42" t="str">
        <f>IF(OR(ISBLANK(Exceptions[[#This Row],[Start]]),ISBLANK(Exceptions[[#This Row],[End]])),"",(Exceptions[[#This Row],[End]]-Exceptions[[#This Row],[Start]])*1440)</f>
        <v/>
      </c>
      <c r="J74" s="42" t="str">
        <f>IF(ISBLANK(Exceptions[[#This Row],[Date]]),"",IF(Exceptions[[#This Row],[Activity]]="Instruction",Exceptions[[#This Row],[Elapsed]],0))</f>
        <v/>
      </c>
      <c r="K74" s="42" t="str">
        <f>IF(ISBLANK(Exceptions[[#This Row],[Activity]]),"",IF(_xlfn.XLOOKUP(Exceptions[[#This Row],[Activity]],Types_of_Activity[Type of Activity],Types_of_Activity[Classification])=2,Exceptions[[#This Row],[Elapsed]],0))</f>
        <v/>
      </c>
    </row>
    <row r="75" spans="2:11" x14ac:dyDescent="0.3">
      <c r="B75" t="str">
        <f>TEXT(Exceptions[[#This Row],[Date]],"MMMM")</f>
        <v>January</v>
      </c>
      <c r="C75" s="145"/>
      <c r="D75" s="135"/>
      <c r="E75" s="135"/>
      <c r="F75" s="102"/>
      <c r="G75" s="102"/>
      <c r="H75" s="102"/>
      <c r="I75" s="42" t="str">
        <f>IF(OR(ISBLANK(Exceptions[[#This Row],[Start]]),ISBLANK(Exceptions[[#This Row],[End]])),"",(Exceptions[[#This Row],[End]]-Exceptions[[#This Row],[Start]])*1440)</f>
        <v/>
      </c>
      <c r="J75" s="42" t="str">
        <f>IF(ISBLANK(Exceptions[[#This Row],[Date]]),"",IF(Exceptions[[#This Row],[Activity]]="Instruction",Exceptions[[#This Row],[Elapsed]],0))</f>
        <v/>
      </c>
      <c r="K75" s="42" t="str">
        <f>IF(ISBLANK(Exceptions[[#This Row],[Activity]]),"",IF(_xlfn.XLOOKUP(Exceptions[[#This Row],[Activity]],Types_of_Activity[Type of Activity],Types_of_Activity[Classification])=2,Exceptions[[#This Row],[Elapsed]],0))</f>
        <v/>
      </c>
    </row>
    <row r="76" spans="2:11" x14ac:dyDescent="0.3">
      <c r="B76" t="str">
        <f>TEXT(Exceptions[[#This Row],[Date]],"MMMM")</f>
        <v>January</v>
      </c>
      <c r="C76" s="145"/>
      <c r="D76" s="135"/>
      <c r="E76" s="135"/>
      <c r="F76" s="102"/>
      <c r="G76" s="102"/>
      <c r="H76" s="102"/>
      <c r="I76" s="42" t="str">
        <f>IF(OR(ISBLANK(Exceptions[[#This Row],[Start]]),ISBLANK(Exceptions[[#This Row],[End]])),"",(Exceptions[[#This Row],[End]]-Exceptions[[#This Row],[Start]])*1440)</f>
        <v/>
      </c>
      <c r="J76" s="42" t="str">
        <f>IF(ISBLANK(Exceptions[[#This Row],[Date]]),"",IF(Exceptions[[#This Row],[Activity]]="Instruction",Exceptions[[#This Row],[Elapsed]],0))</f>
        <v/>
      </c>
      <c r="K76" s="42" t="str">
        <f>IF(ISBLANK(Exceptions[[#This Row],[Activity]]),"",IF(_xlfn.XLOOKUP(Exceptions[[#This Row],[Activity]],Types_of_Activity[Type of Activity],Types_of_Activity[Classification])=2,Exceptions[[#This Row],[Elapsed]],0))</f>
        <v/>
      </c>
    </row>
    <row r="77" spans="2:11" x14ac:dyDescent="0.3">
      <c r="B77" t="str">
        <f>TEXT(Exceptions[[#This Row],[Date]],"MMMM")</f>
        <v>January</v>
      </c>
      <c r="C77" s="145"/>
      <c r="D77" s="135"/>
      <c r="E77" s="135"/>
      <c r="F77" s="102"/>
      <c r="G77" s="102"/>
      <c r="H77" s="102"/>
      <c r="I77" s="42" t="str">
        <f>IF(OR(ISBLANK(Exceptions[[#This Row],[Start]]),ISBLANK(Exceptions[[#This Row],[End]])),"",(Exceptions[[#This Row],[End]]-Exceptions[[#This Row],[Start]])*1440)</f>
        <v/>
      </c>
      <c r="J77" s="42" t="str">
        <f>IF(ISBLANK(Exceptions[[#This Row],[Date]]),"",IF(Exceptions[[#This Row],[Activity]]="Instruction",Exceptions[[#This Row],[Elapsed]],0))</f>
        <v/>
      </c>
      <c r="K77" s="42" t="str">
        <f>IF(ISBLANK(Exceptions[[#This Row],[Activity]]),"",IF(_xlfn.XLOOKUP(Exceptions[[#This Row],[Activity]],Types_of_Activity[Type of Activity],Types_of_Activity[Classification])=2,Exceptions[[#This Row],[Elapsed]],0))</f>
        <v/>
      </c>
    </row>
    <row r="78" spans="2:11" x14ac:dyDescent="0.3">
      <c r="B78" t="str">
        <f>TEXT(Exceptions[[#This Row],[Date]],"MMMM")</f>
        <v>January</v>
      </c>
      <c r="C78" s="145"/>
      <c r="D78" s="135"/>
      <c r="E78" s="135"/>
      <c r="F78" s="102"/>
      <c r="G78" s="102"/>
      <c r="H78" s="102"/>
      <c r="I78" s="42" t="str">
        <f>IF(OR(ISBLANK(Exceptions[[#This Row],[Start]]),ISBLANK(Exceptions[[#This Row],[End]])),"",(Exceptions[[#This Row],[End]]-Exceptions[[#This Row],[Start]])*1440)</f>
        <v/>
      </c>
      <c r="J78" s="42" t="str">
        <f>IF(ISBLANK(Exceptions[[#This Row],[Date]]),"",IF(Exceptions[[#This Row],[Activity]]="Instruction",Exceptions[[#This Row],[Elapsed]],0))</f>
        <v/>
      </c>
      <c r="K78" s="42" t="str">
        <f>IF(ISBLANK(Exceptions[[#This Row],[Activity]]),"",IF(_xlfn.XLOOKUP(Exceptions[[#This Row],[Activity]],Types_of_Activity[Type of Activity],Types_of_Activity[Classification])=2,Exceptions[[#This Row],[Elapsed]],0))</f>
        <v/>
      </c>
    </row>
    <row r="79" spans="2:11" x14ac:dyDescent="0.3">
      <c r="B79" t="str">
        <f>TEXT(Exceptions[[#This Row],[Date]],"MMMM")</f>
        <v>January</v>
      </c>
      <c r="C79" s="145"/>
      <c r="D79" s="135"/>
      <c r="E79" s="135"/>
      <c r="F79" s="102"/>
      <c r="G79" s="102"/>
      <c r="H79" s="102"/>
      <c r="I79" s="42" t="str">
        <f>IF(OR(ISBLANK(Exceptions[[#This Row],[Start]]),ISBLANK(Exceptions[[#This Row],[End]])),"",(Exceptions[[#This Row],[End]]-Exceptions[[#This Row],[Start]])*1440)</f>
        <v/>
      </c>
      <c r="J79" s="42" t="str">
        <f>IF(ISBLANK(Exceptions[[#This Row],[Date]]),"",IF(Exceptions[[#This Row],[Activity]]="Instruction",Exceptions[[#This Row],[Elapsed]],0))</f>
        <v/>
      </c>
      <c r="K79" s="42" t="str">
        <f>IF(ISBLANK(Exceptions[[#This Row],[Activity]]),"",IF(_xlfn.XLOOKUP(Exceptions[[#This Row],[Activity]],Types_of_Activity[Type of Activity],Types_of_Activity[Classification])=2,Exceptions[[#This Row],[Elapsed]],0))</f>
        <v/>
      </c>
    </row>
    <row r="80" spans="2:11" x14ac:dyDescent="0.3">
      <c r="B80" t="str">
        <f>TEXT(Exceptions[[#This Row],[Date]],"MMMM")</f>
        <v>January</v>
      </c>
      <c r="C80" s="145"/>
      <c r="D80" s="135"/>
      <c r="E80" s="135"/>
      <c r="F80" s="102"/>
      <c r="G80" s="102"/>
      <c r="H80" s="102"/>
      <c r="I80" s="42" t="str">
        <f>IF(OR(ISBLANK(Exceptions[[#This Row],[Start]]),ISBLANK(Exceptions[[#This Row],[End]])),"",(Exceptions[[#This Row],[End]]-Exceptions[[#This Row],[Start]])*1440)</f>
        <v/>
      </c>
      <c r="J80" s="42" t="str">
        <f>IF(ISBLANK(Exceptions[[#This Row],[Date]]),"",IF(Exceptions[[#This Row],[Activity]]="Instruction",Exceptions[[#This Row],[Elapsed]],0))</f>
        <v/>
      </c>
      <c r="K80" s="42" t="str">
        <f>IF(ISBLANK(Exceptions[[#This Row],[Activity]]),"",IF(_xlfn.XLOOKUP(Exceptions[[#This Row],[Activity]],Types_of_Activity[Type of Activity],Types_of_Activity[Classification])=2,Exceptions[[#This Row],[Elapsed]],0))</f>
        <v/>
      </c>
    </row>
    <row r="81" spans="2:11" x14ac:dyDescent="0.3">
      <c r="B81" t="str">
        <f>TEXT(Exceptions[[#This Row],[Date]],"MMMM")</f>
        <v>January</v>
      </c>
      <c r="C81" s="145"/>
      <c r="D81" s="135"/>
      <c r="E81" s="135"/>
      <c r="F81" s="102"/>
      <c r="G81" s="102"/>
      <c r="H81" s="102"/>
      <c r="I81" s="42" t="str">
        <f>IF(OR(ISBLANK(Exceptions[[#This Row],[Start]]),ISBLANK(Exceptions[[#This Row],[End]])),"",(Exceptions[[#This Row],[End]]-Exceptions[[#This Row],[Start]])*1440)</f>
        <v/>
      </c>
      <c r="J81" s="42" t="str">
        <f>IF(ISBLANK(Exceptions[[#This Row],[Date]]),"",IF(Exceptions[[#This Row],[Activity]]="Instruction",Exceptions[[#This Row],[Elapsed]],0))</f>
        <v/>
      </c>
      <c r="K81" s="42" t="str">
        <f>IF(ISBLANK(Exceptions[[#This Row],[Activity]]),"",IF(_xlfn.XLOOKUP(Exceptions[[#This Row],[Activity]],Types_of_Activity[Type of Activity],Types_of_Activity[Classification])=2,Exceptions[[#This Row],[Elapsed]],0))</f>
        <v/>
      </c>
    </row>
    <row r="82" spans="2:11" x14ac:dyDescent="0.3">
      <c r="B82" t="str">
        <f>TEXT(Exceptions[[#This Row],[Date]],"MMMM")</f>
        <v>January</v>
      </c>
      <c r="C82" s="145"/>
      <c r="D82" s="135"/>
      <c r="E82" s="135"/>
      <c r="F82" s="102"/>
      <c r="G82" s="102"/>
      <c r="H82" s="102"/>
      <c r="I82" s="42" t="str">
        <f>IF(OR(ISBLANK(Exceptions[[#This Row],[Start]]),ISBLANK(Exceptions[[#This Row],[End]])),"",(Exceptions[[#This Row],[End]]-Exceptions[[#This Row],[Start]])*1440)</f>
        <v/>
      </c>
      <c r="J82" s="42" t="str">
        <f>IF(ISBLANK(Exceptions[[#This Row],[Date]]),"",IF(Exceptions[[#This Row],[Activity]]="Instruction",Exceptions[[#This Row],[Elapsed]],0))</f>
        <v/>
      </c>
      <c r="K82" s="42" t="str">
        <f>IF(ISBLANK(Exceptions[[#This Row],[Activity]]),"",IF(_xlfn.XLOOKUP(Exceptions[[#This Row],[Activity]],Types_of_Activity[Type of Activity],Types_of_Activity[Classification])=2,Exceptions[[#This Row],[Elapsed]],0))</f>
        <v/>
      </c>
    </row>
    <row r="83" spans="2:11" x14ac:dyDescent="0.3">
      <c r="B83" t="str">
        <f>TEXT(Exceptions[[#This Row],[Date]],"MMMM")</f>
        <v>January</v>
      </c>
      <c r="C83" s="145"/>
      <c r="D83" s="135"/>
      <c r="E83" s="135"/>
      <c r="F83" s="102"/>
      <c r="G83" s="102"/>
      <c r="H83" s="102"/>
      <c r="I83" s="42" t="str">
        <f>IF(OR(ISBLANK(Exceptions[[#This Row],[Start]]),ISBLANK(Exceptions[[#This Row],[End]])),"",(Exceptions[[#This Row],[End]]-Exceptions[[#This Row],[Start]])*1440)</f>
        <v/>
      </c>
      <c r="J83" s="42" t="str">
        <f>IF(ISBLANK(Exceptions[[#This Row],[Date]]),"",IF(Exceptions[[#This Row],[Activity]]="Instruction",Exceptions[[#This Row],[Elapsed]],0))</f>
        <v/>
      </c>
      <c r="K83" s="42" t="str">
        <f>IF(ISBLANK(Exceptions[[#This Row],[Activity]]),"",IF(_xlfn.XLOOKUP(Exceptions[[#This Row],[Activity]],Types_of_Activity[Type of Activity],Types_of_Activity[Classification])=2,Exceptions[[#This Row],[Elapsed]],0))</f>
        <v/>
      </c>
    </row>
    <row r="84" spans="2:11" x14ac:dyDescent="0.3">
      <c r="B84" t="str">
        <f>TEXT(Exceptions[[#This Row],[Date]],"MMMM")</f>
        <v>January</v>
      </c>
      <c r="C84" s="145"/>
      <c r="D84" s="135"/>
      <c r="E84" s="135"/>
      <c r="F84" s="102"/>
      <c r="G84" s="102"/>
      <c r="H84" s="102"/>
      <c r="I84" s="42" t="str">
        <f>IF(OR(ISBLANK(Exceptions[[#This Row],[Start]]),ISBLANK(Exceptions[[#This Row],[End]])),"",(Exceptions[[#This Row],[End]]-Exceptions[[#This Row],[Start]])*1440)</f>
        <v/>
      </c>
      <c r="J84" s="42" t="str">
        <f>IF(ISBLANK(Exceptions[[#This Row],[Date]]),"",IF(Exceptions[[#This Row],[Activity]]="Instruction",Exceptions[[#This Row],[Elapsed]],0))</f>
        <v/>
      </c>
      <c r="K84" s="42" t="str">
        <f>IF(ISBLANK(Exceptions[[#This Row],[Activity]]),"",IF(_xlfn.XLOOKUP(Exceptions[[#This Row],[Activity]],Types_of_Activity[Type of Activity],Types_of_Activity[Classification])=2,Exceptions[[#This Row],[Elapsed]],0))</f>
        <v/>
      </c>
    </row>
    <row r="85" spans="2:11" x14ac:dyDescent="0.3">
      <c r="B85" t="str">
        <f>TEXT(Exceptions[[#This Row],[Date]],"MMMM")</f>
        <v>January</v>
      </c>
      <c r="C85" s="145"/>
      <c r="D85" s="135"/>
      <c r="E85" s="135"/>
      <c r="F85" s="102"/>
      <c r="G85" s="102"/>
      <c r="H85" s="102"/>
      <c r="I85" s="42" t="str">
        <f>IF(OR(ISBLANK(Exceptions[[#This Row],[Start]]),ISBLANK(Exceptions[[#This Row],[End]])),"",(Exceptions[[#This Row],[End]]-Exceptions[[#This Row],[Start]])*1440)</f>
        <v/>
      </c>
      <c r="J85" s="42" t="str">
        <f>IF(ISBLANK(Exceptions[[#This Row],[Date]]),"",IF(Exceptions[[#This Row],[Activity]]="Instruction",Exceptions[[#This Row],[Elapsed]],0))</f>
        <v/>
      </c>
      <c r="K85" s="42" t="str">
        <f>IF(ISBLANK(Exceptions[[#This Row],[Activity]]),"",IF(_xlfn.XLOOKUP(Exceptions[[#This Row],[Activity]],Types_of_Activity[Type of Activity],Types_of_Activity[Classification])=2,Exceptions[[#This Row],[Elapsed]],0))</f>
        <v/>
      </c>
    </row>
    <row r="86" spans="2:11" x14ac:dyDescent="0.3">
      <c r="B86" t="str">
        <f>TEXT(Exceptions[[#This Row],[Date]],"MMMM")</f>
        <v>January</v>
      </c>
      <c r="C86" s="145"/>
      <c r="D86" s="135"/>
      <c r="E86" s="135"/>
      <c r="F86" s="102"/>
      <c r="G86" s="102"/>
      <c r="H86" s="102"/>
      <c r="I86" s="42" t="str">
        <f>IF(OR(ISBLANK(Exceptions[[#This Row],[Start]]),ISBLANK(Exceptions[[#This Row],[End]])),"",(Exceptions[[#This Row],[End]]-Exceptions[[#This Row],[Start]])*1440)</f>
        <v/>
      </c>
      <c r="J86" s="42" t="str">
        <f>IF(ISBLANK(Exceptions[[#This Row],[Date]]),"",IF(Exceptions[[#This Row],[Activity]]="Instruction",Exceptions[[#This Row],[Elapsed]],0))</f>
        <v/>
      </c>
      <c r="K86" s="42" t="str">
        <f>IF(ISBLANK(Exceptions[[#This Row],[Activity]]),"",IF(_xlfn.XLOOKUP(Exceptions[[#This Row],[Activity]],Types_of_Activity[Type of Activity],Types_of_Activity[Classification])=2,Exceptions[[#This Row],[Elapsed]],0))</f>
        <v/>
      </c>
    </row>
    <row r="87" spans="2:11" x14ac:dyDescent="0.3">
      <c r="B87" t="str">
        <f>TEXT(Exceptions[[#This Row],[Date]],"MMMM")</f>
        <v>January</v>
      </c>
      <c r="C87" s="145"/>
      <c r="D87" s="135"/>
      <c r="E87" s="135"/>
      <c r="F87" s="102"/>
      <c r="G87" s="102"/>
      <c r="H87" s="102"/>
      <c r="I87" s="42" t="str">
        <f>IF(OR(ISBLANK(Exceptions[[#This Row],[Start]]),ISBLANK(Exceptions[[#This Row],[End]])),"",(Exceptions[[#This Row],[End]]-Exceptions[[#This Row],[Start]])*1440)</f>
        <v/>
      </c>
      <c r="J87" s="42" t="str">
        <f>IF(ISBLANK(Exceptions[[#This Row],[Date]]),"",IF(Exceptions[[#This Row],[Activity]]="Instruction",Exceptions[[#This Row],[Elapsed]],0))</f>
        <v/>
      </c>
      <c r="K87" s="42" t="str">
        <f>IF(ISBLANK(Exceptions[[#This Row],[Activity]]),"",IF(_xlfn.XLOOKUP(Exceptions[[#This Row],[Activity]],Types_of_Activity[Type of Activity],Types_of_Activity[Classification])=2,Exceptions[[#This Row],[Elapsed]],0))</f>
        <v/>
      </c>
    </row>
    <row r="88" spans="2:11" x14ac:dyDescent="0.3">
      <c r="B88" t="str">
        <f>TEXT(Exceptions[[#This Row],[Date]],"MMMM")</f>
        <v>January</v>
      </c>
      <c r="C88" s="145"/>
      <c r="D88" s="135"/>
      <c r="E88" s="135"/>
      <c r="F88" s="102"/>
      <c r="G88" s="102"/>
      <c r="H88" s="102"/>
      <c r="I88" s="42" t="str">
        <f>IF(OR(ISBLANK(Exceptions[[#This Row],[Start]]),ISBLANK(Exceptions[[#This Row],[End]])),"",(Exceptions[[#This Row],[End]]-Exceptions[[#This Row],[Start]])*1440)</f>
        <v/>
      </c>
      <c r="J88" s="42" t="str">
        <f>IF(ISBLANK(Exceptions[[#This Row],[Date]]),"",IF(Exceptions[[#This Row],[Activity]]="Instruction",Exceptions[[#This Row],[Elapsed]],0))</f>
        <v/>
      </c>
      <c r="K88" s="42" t="str">
        <f>IF(ISBLANK(Exceptions[[#This Row],[Activity]]),"",IF(_xlfn.XLOOKUP(Exceptions[[#This Row],[Activity]],Types_of_Activity[Type of Activity],Types_of_Activity[Classification])=2,Exceptions[[#This Row],[Elapsed]],0))</f>
        <v/>
      </c>
    </row>
    <row r="89" spans="2:11" x14ac:dyDescent="0.3">
      <c r="B89" t="str">
        <f>TEXT(Exceptions[[#This Row],[Date]],"MMMM")</f>
        <v>January</v>
      </c>
      <c r="C89" s="145"/>
      <c r="D89" s="135"/>
      <c r="E89" s="135"/>
      <c r="F89" s="102"/>
      <c r="G89" s="102"/>
      <c r="H89" s="102"/>
      <c r="I89" s="42" t="str">
        <f>IF(OR(ISBLANK(Exceptions[[#This Row],[Start]]),ISBLANK(Exceptions[[#This Row],[End]])),"",(Exceptions[[#This Row],[End]]-Exceptions[[#This Row],[Start]])*1440)</f>
        <v/>
      </c>
      <c r="J89" s="42" t="str">
        <f>IF(ISBLANK(Exceptions[[#This Row],[Date]]),"",IF(Exceptions[[#This Row],[Activity]]="Instruction",Exceptions[[#This Row],[Elapsed]],0))</f>
        <v/>
      </c>
      <c r="K89" s="42" t="str">
        <f>IF(ISBLANK(Exceptions[[#This Row],[Activity]]),"",IF(_xlfn.XLOOKUP(Exceptions[[#This Row],[Activity]],Types_of_Activity[Type of Activity],Types_of_Activity[Classification])=2,Exceptions[[#This Row],[Elapsed]],0))</f>
        <v/>
      </c>
    </row>
    <row r="90" spans="2:11" x14ac:dyDescent="0.3">
      <c r="B90" t="str">
        <f>TEXT(Exceptions[[#This Row],[Date]],"MMMM")</f>
        <v>January</v>
      </c>
      <c r="C90" s="145"/>
      <c r="D90" s="135"/>
      <c r="E90" s="135"/>
      <c r="F90" s="102"/>
      <c r="G90" s="102"/>
      <c r="H90" s="102"/>
      <c r="I90" s="42" t="str">
        <f>IF(OR(ISBLANK(Exceptions[[#This Row],[Start]]),ISBLANK(Exceptions[[#This Row],[End]])),"",(Exceptions[[#This Row],[End]]-Exceptions[[#This Row],[Start]])*1440)</f>
        <v/>
      </c>
      <c r="J90" s="42" t="str">
        <f>IF(ISBLANK(Exceptions[[#This Row],[Date]]),"",IF(Exceptions[[#This Row],[Activity]]="Instruction",Exceptions[[#This Row],[Elapsed]],0))</f>
        <v/>
      </c>
      <c r="K90" s="42" t="str">
        <f>IF(ISBLANK(Exceptions[[#This Row],[Activity]]),"",IF(_xlfn.XLOOKUP(Exceptions[[#This Row],[Activity]],Types_of_Activity[Type of Activity],Types_of_Activity[Classification])=2,Exceptions[[#This Row],[Elapsed]],0))</f>
        <v/>
      </c>
    </row>
    <row r="91" spans="2:11" x14ac:dyDescent="0.3">
      <c r="B91" t="str">
        <f>TEXT(Exceptions[[#This Row],[Date]],"MMMM")</f>
        <v>January</v>
      </c>
      <c r="C91" s="145"/>
      <c r="D91" s="135"/>
      <c r="E91" s="135"/>
      <c r="F91" s="102"/>
      <c r="G91" s="102"/>
      <c r="H91" s="102"/>
      <c r="I91" s="42" t="str">
        <f>IF(OR(ISBLANK(Exceptions[[#This Row],[Start]]),ISBLANK(Exceptions[[#This Row],[End]])),"",(Exceptions[[#This Row],[End]]-Exceptions[[#This Row],[Start]])*1440)</f>
        <v/>
      </c>
      <c r="J91" s="42" t="str">
        <f>IF(ISBLANK(Exceptions[[#This Row],[Date]]),"",IF(Exceptions[[#This Row],[Activity]]="Instruction",Exceptions[[#This Row],[Elapsed]],0))</f>
        <v/>
      </c>
      <c r="K91" s="42" t="str">
        <f>IF(ISBLANK(Exceptions[[#This Row],[Activity]]),"",IF(_xlfn.XLOOKUP(Exceptions[[#This Row],[Activity]],Types_of_Activity[Type of Activity],Types_of_Activity[Classification])=2,Exceptions[[#This Row],[Elapsed]],0))</f>
        <v/>
      </c>
    </row>
    <row r="92" spans="2:11" x14ac:dyDescent="0.3">
      <c r="B92" t="str">
        <f>TEXT(Exceptions[[#This Row],[Date]],"MMMM")</f>
        <v>January</v>
      </c>
      <c r="C92" s="145"/>
      <c r="D92" s="135"/>
      <c r="E92" s="135"/>
      <c r="F92" s="102"/>
      <c r="G92" s="102"/>
      <c r="H92" s="102"/>
      <c r="I92" s="42" t="str">
        <f>IF(OR(ISBLANK(Exceptions[[#This Row],[Start]]),ISBLANK(Exceptions[[#This Row],[End]])),"",(Exceptions[[#This Row],[End]]-Exceptions[[#This Row],[Start]])*1440)</f>
        <v/>
      </c>
      <c r="J92" s="42" t="str">
        <f>IF(ISBLANK(Exceptions[[#This Row],[Date]]),"",IF(Exceptions[[#This Row],[Activity]]="Instruction",Exceptions[[#This Row],[Elapsed]],0))</f>
        <v/>
      </c>
      <c r="K92" s="42" t="str">
        <f>IF(ISBLANK(Exceptions[[#This Row],[Activity]]),"",IF(_xlfn.XLOOKUP(Exceptions[[#This Row],[Activity]],Types_of_Activity[Type of Activity],Types_of_Activity[Classification])=2,Exceptions[[#This Row],[Elapsed]],0))</f>
        <v/>
      </c>
    </row>
    <row r="93" spans="2:11" x14ac:dyDescent="0.3">
      <c r="B93" t="str">
        <f>TEXT(Exceptions[[#This Row],[Date]],"MMMM")</f>
        <v>January</v>
      </c>
      <c r="C93" s="145"/>
      <c r="D93" s="135"/>
      <c r="E93" s="135"/>
      <c r="F93" s="102"/>
      <c r="G93" s="102"/>
      <c r="H93" s="102"/>
      <c r="I93" s="42" t="str">
        <f>IF(OR(ISBLANK(Exceptions[[#This Row],[Start]]),ISBLANK(Exceptions[[#This Row],[End]])),"",(Exceptions[[#This Row],[End]]-Exceptions[[#This Row],[Start]])*1440)</f>
        <v/>
      </c>
      <c r="J93" s="42" t="str">
        <f>IF(ISBLANK(Exceptions[[#This Row],[Date]]),"",IF(Exceptions[[#This Row],[Activity]]="Instruction",Exceptions[[#This Row],[Elapsed]],0))</f>
        <v/>
      </c>
      <c r="K93" s="42" t="str">
        <f>IF(ISBLANK(Exceptions[[#This Row],[Activity]]),"",IF(_xlfn.XLOOKUP(Exceptions[[#This Row],[Activity]],Types_of_Activity[Type of Activity],Types_of_Activity[Classification])=2,Exceptions[[#This Row],[Elapsed]],0))</f>
        <v/>
      </c>
    </row>
    <row r="94" spans="2:11" x14ac:dyDescent="0.3">
      <c r="B94" t="str">
        <f>TEXT(Exceptions[[#This Row],[Date]],"MMMM")</f>
        <v>January</v>
      </c>
      <c r="C94" s="145"/>
      <c r="D94" s="135"/>
      <c r="E94" s="135"/>
      <c r="F94" s="102"/>
      <c r="G94" s="102"/>
      <c r="H94" s="102"/>
      <c r="I94" s="42" t="str">
        <f>IF(OR(ISBLANK(Exceptions[[#This Row],[Start]]),ISBLANK(Exceptions[[#This Row],[End]])),"",(Exceptions[[#This Row],[End]]-Exceptions[[#This Row],[Start]])*1440)</f>
        <v/>
      </c>
      <c r="J94" s="42" t="str">
        <f>IF(ISBLANK(Exceptions[[#This Row],[Date]]),"",IF(Exceptions[[#This Row],[Activity]]="Instruction",Exceptions[[#This Row],[Elapsed]],0))</f>
        <v/>
      </c>
      <c r="K94" s="42" t="str">
        <f>IF(ISBLANK(Exceptions[[#This Row],[Activity]]),"",IF(_xlfn.XLOOKUP(Exceptions[[#This Row],[Activity]],Types_of_Activity[Type of Activity],Types_of_Activity[Classification])=2,Exceptions[[#This Row],[Elapsed]],0))</f>
        <v/>
      </c>
    </row>
    <row r="95" spans="2:11" x14ac:dyDescent="0.3">
      <c r="B95" t="str">
        <f>TEXT(Exceptions[[#This Row],[Date]],"MMMM")</f>
        <v>January</v>
      </c>
      <c r="C95" s="145"/>
      <c r="D95" s="135"/>
      <c r="E95" s="135"/>
      <c r="F95" s="102"/>
      <c r="G95" s="102"/>
      <c r="H95" s="102"/>
      <c r="I95" s="42" t="str">
        <f>IF(OR(ISBLANK(Exceptions[[#This Row],[Start]]),ISBLANK(Exceptions[[#This Row],[End]])),"",(Exceptions[[#This Row],[End]]-Exceptions[[#This Row],[Start]])*1440)</f>
        <v/>
      </c>
      <c r="J95" s="42" t="str">
        <f>IF(ISBLANK(Exceptions[[#This Row],[Date]]),"",IF(Exceptions[[#This Row],[Activity]]="Instruction",Exceptions[[#This Row],[Elapsed]],0))</f>
        <v/>
      </c>
      <c r="K95" s="42" t="str">
        <f>IF(ISBLANK(Exceptions[[#This Row],[Activity]]),"",IF(_xlfn.XLOOKUP(Exceptions[[#This Row],[Activity]],Types_of_Activity[Type of Activity],Types_of_Activity[Classification])=2,Exceptions[[#This Row],[Elapsed]],0))</f>
        <v/>
      </c>
    </row>
    <row r="96" spans="2:11" x14ac:dyDescent="0.3">
      <c r="B96" t="str">
        <f>TEXT(Exceptions[[#This Row],[Date]],"MMMM")</f>
        <v>January</v>
      </c>
      <c r="C96" s="145"/>
      <c r="D96" s="135"/>
      <c r="E96" s="135"/>
      <c r="F96" s="102"/>
      <c r="G96" s="102"/>
      <c r="H96" s="102"/>
      <c r="I96" s="42" t="str">
        <f>IF(OR(ISBLANK(Exceptions[[#This Row],[Start]]),ISBLANK(Exceptions[[#This Row],[End]])),"",(Exceptions[[#This Row],[End]]-Exceptions[[#This Row],[Start]])*1440)</f>
        <v/>
      </c>
      <c r="J96" s="42" t="str">
        <f>IF(ISBLANK(Exceptions[[#This Row],[Date]]),"",IF(Exceptions[[#This Row],[Activity]]="Instruction",Exceptions[[#This Row],[Elapsed]],0))</f>
        <v/>
      </c>
      <c r="K96" s="42" t="str">
        <f>IF(ISBLANK(Exceptions[[#This Row],[Activity]]),"",IF(_xlfn.XLOOKUP(Exceptions[[#This Row],[Activity]],Types_of_Activity[Type of Activity],Types_of_Activity[Classification])=2,Exceptions[[#This Row],[Elapsed]],0))</f>
        <v/>
      </c>
    </row>
    <row r="97" spans="2:11" x14ac:dyDescent="0.3">
      <c r="B97" t="str">
        <f>TEXT(Exceptions[[#This Row],[Date]],"MMMM")</f>
        <v>January</v>
      </c>
      <c r="C97" s="145"/>
      <c r="D97" s="135"/>
      <c r="E97" s="135"/>
      <c r="F97" s="102"/>
      <c r="G97" s="102"/>
      <c r="H97" s="102"/>
      <c r="I97" s="42" t="str">
        <f>IF(OR(ISBLANK(Exceptions[[#This Row],[Start]]),ISBLANK(Exceptions[[#This Row],[End]])),"",(Exceptions[[#This Row],[End]]-Exceptions[[#This Row],[Start]])*1440)</f>
        <v/>
      </c>
      <c r="J97" s="42" t="str">
        <f>IF(ISBLANK(Exceptions[[#This Row],[Date]]),"",IF(Exceptions[[#This Row],[Activity]]="Instruction",Exceptions[[#This Row],[Elapsed]],0))</f>
        <v/>
      </c>
      <c r="K97" s="42" t="str">
        <f>IF(ISBLANK(Exceptions[[#This Row],[Activity]]),"",IF(_xlfn.XLOOKUP(Exceptions[[#This Row],[Activity]],Types_of_Activity[Type of Activity],Types_of_Activity[Classification])=2,Exceptions[[#This Row],[Elapsed]],0))</f>
        <v/>
      </c>
    </row>
    <row r="98" spans="2:11" x14ac:dyDescent="0.3">
      <c r="B98" t="str">
        <f>TEXT(Exceptions[[#This Row],[Date]],"MMMM")</f>
        <v>January</v>
      </c>
      <c r="C98" s="145"/>
      <c r="D98" s="135"/>
      <c r="E98" s="135"/>
      <c r="F98" s="102"/>
      <c r="G98" s="102"/>
      <c r="H98" s="102"/>
      <c r="I98" s="42" t="str">
        <f>IF(OR(ISBLANK(Exceptions[[#This Row],[Start]]),ISBLANK(Exceptions[[#This Row],[End]])),"",(Exceptions[[#This Row],[End]]-Exceptions[[#This Row],[Start]])*1440)</f>
        <v/>
      </c>
      <c r="J98" s="42" t="str">
        <f>IF(ISBLANK(Exceptions[[#This Row],[Date]]),"",IF(Exceptions[[#This Row],[Activity]]="Instruction",Exceptions[[#This Row],[Elapsed]],0))</f>
        <v/>
      </c>
      <c r="K98" s="42" t="str">
        <f>IF(ISBLANK(Exceptions[[#This Row],[Activity]]),"",IF(_xlfn.XLOOKUP(Exceptions[[#This Row],[Activity]],Types_of_Activity[Type of Activity],Types_of_Activity[Classification])=2,Exceptions[[#This Row],[Elapsed]],0))</f>
        <v/>
      </c>
    </row>
    <row r="99" spans="2:11" x14ac:dyDescent="0.3">
      <c r="B99" t="str">
        <f>TEXT(Exceptions[[#This Row],[Date]],"MMMM")</f>
        <v>January</v>
      </c>
      <c r="C99" s="145"/>
      <c r="D99" s="135"/>
      <c r="E99" s="135"/>
      <c r="F99" s="102"/>
      <c r="G99" s="102"/>
      <c r="H99" s="102"/>
      <c r="I99" s="42" t="str">
        <f>IF(OR(ISBLANK(Exceptions[[#This Row],[Start]]),ISBLANK(Exceptions[[#This Row],[End]])),"",(Exceptions[[#This Row],[End]]-Exceptions[[#This Row],[Start]])*1440)</f>
        <v/>
      </c>
      <c r="J99" s="42" t="str">
        <f>IF(ISBLANK(Exceptions[[#This Row],[Date]]),"",IF(Exceptions[[#This Row],[Activity]]="Instruction",Exceptions[[#This Row],[Elapsed]],0))</f>
        <v/>
      </c>
      <c r="K99" s="42" t="str">
        <f>IF(ISBLANK(Exceptions[[#This Row],[Activity]]),"",IF(_xlfn.XLOOKUP(Exceptions[[#This Row],[Activity]],Types_of_Activity[Type of Activity],Types_of_Activity[Classification])=2,Exceptions[[#This Row],[Elapsed]],0))</f>
        <v/>
      </c>
    </row>
    <row r="100" spans="2:11" x14ac:dyDescent="0.3">
      <c r="B100" t="str">
        <f>TEXT(Exceptions[[#This Row],[Date]],"MMMM")</f>
        <v>January</v>
      </c>
      <c r="C100" s="145"/>
      <c r="D100" s="135"/>
      <c r="E100" s="135"/>
      <c r="F100" s="102"/>
      <c r="G100" s="102"/>
      <c r="H100" s="102"/>
      <c r="I100" s="42" t="str">
        <f>IF(OR(ISBLANK(Exceptions[[#This Row],[Start]]),ISBLANK(Exceptions[[#This Row],[End]])),"",(Exceptions[[#This Row],[End]]-Exceptions[[#This Row],[Start]])*1440)</f>
        <v/>
      </c>
      <c r="J100" s="42" t="str">
        <f>IF(ISBLANK(Exceptions[[#This Row],[Date]]),"",IF(Exceptions[[#This Row],[Activity]]="Instruction",Exceptions[[#This Row],[Elapsed]],0))</f>
        <v/>
      </c>
      <c r="K100" s="42" t="str">
        <f>IF(ISBLANK(Exceptions[[#This Row],[Activity]]),"",IF(_xlfn.XLOOKUP(Exceptions[[#This Row],[Activity]],Types_of_Activity[Type of Activity],Types_of_Activity[Classification])=2,Exceptions[[#This Row],[Elapsed]],0))</f>
        <v/>
      </c>
    </row>
    <row r="101" spans="2:11" x14ac:dyDescent="0.3">
      <c r="B101" t="str">
        <f>TEXT(Exceptions[[#This Row],[Date]],"MMMM")</f>
        <v>January</v>
      </c>
      <c r="C101" s="145"/>
      <c r="D101" s="135"/>
      <c r="E101" s="135"/>
      <c r="F101" s="102"/>
      <c r="G101" s="102"/>
      <c r="H101" s="102"/>
      <c r="I101" s="42" t="str">
        <f>IF(OR(ISBLANK(Exceptions[[#This Row],[Start]]),ISBLANK(Exceptions[[#This Row],[End]])),"",(Exceptions[[#This Row],[End]]-Exceptions[[#This Row],[Start]])*1440)</f>
        <v/>
      </c>
      <c r="J101" s="42" t="str">
        <f>IF(ISBLANK(Exceptions[[#This Row],[Date]]),"",IF(Exceptions[[#This Row],[Activity]]="Instruction",Exceptions[[#This Row],[Elapsed]],0))</f>
        <v/>
      </c>
      <c r="K101" s="42" t="str">
        <f>IF(ISBLANK(Exceptions[[#This Row],[Activity]]),"",IF(_xlfn.XLOOKUP(Exceptions[[#This Row],[Activity]],Types_of_Activity[Type of Activity],Types_of_Activity[Classification])=2,Exceptions[[#This Row],[Elapsed]],0))</f>
        <v/>
      </c>
    </row>
    <row r="102" spans="2:11" x14ac:dyDescent="0.3">
      <c r="B102" t="str">
        <f>TEXT(Exceptions[[#This Row],[Date]],"MMMM")</f>
        <v>January</v>
      </c>
      <c r="C102" s="145"/>
      <c r="D102" s="135"/>
      <c r="E102" s="135"/>
      <c r="F102" s="102"/>
      <c r="G102" s="102"/>
      <c r="H102" s="102"/>
      <c r="I102" s="42" t="str">
        <f>IF(OR(ISBLANK(Exceptions[[#This Row],[Start]]),ISBLANK(Exceptions[[#This Row],[End]])),"",(Exceptions[[#This Row],[End]]-Exceptions[[#This Row],[Start]])*1440)</f>
        <v/>
      </c>
      <c r="J102" s="42" t="str">
        <f>IF(ISBLANK(Exceptions[[#This Row],[Date]]),"",IF(Exceptions[[#This Row],[Activity]]="Instruction",Exceptions[[#This Row],[Elapsed]],0))</f>
        <v/>
      </c>
      <c r="K102" s="42" t="str">
        <f>IF(ISBLANK(Exceptions[[#This Row],[Activity]]),"",IF(_xlfn.XLOOKUP(Exceptions[[#This Row],[Activity]],Types_of_Activity[Type of Activity],Types_of_Activity[Classification])=2,Exceptions[[#This Row],[Elapsed]],0))</f>
        <v/>
      </c>
    </row>
    <row r="103" spans="2:11" x14ac:dyDescent="0.3">
      <c r="B103" t="str">
        <f>TEXT(Exceptions[[#This Row],[Date]],"MMMM")</f>
        <v>January</v>
      </c>
      <c r="C103" s="145"/>
      <c r="D103" s="135"/>
      <c r="E103" s="135"/>
      <c r="F103" s="102"/>
      <c r="G103" s="102"/>
      <c r="H103" s="102"/>
      <c r="I103" s="42" t="str">
        <f>IF(OR(ISBLANK(Exceptions[[#This Row],[Start]]),ISBLANK(Exceptions[[#This Row],[End]])),"",(Exceptions[[#This Row],[End]]-Exceptions[[#This Row],[Start]])*1440)</f>
        <v/>
      </c>
      <c r="J103" s="42" t="str">
        <f>IF(ISBLANK(Exceptions[[#This Row],[Date]]),"",IF(Exceptions[[#This Row],[Activity]]="Instruction",Exceptions[[#This Row],[Elapsed]],0))</f>
        <v/>
      </c>
      <c r="K103" s="42" t="str">
        <f>IF(ISBLANK(Exceptions[[#This Row],[Activity]]),"",IF(_xlfn.XLOOKUP(Exceptions[[#This Row],[Activity]],Types_of_Activity[Type of Activity],Types_of_Activity[Classification])=2,Exceptions[[#This Row],[Elapsed]],0))</f>
        <v/>
      </c>
    </row>
    <row r="104" spans="2:11" x14ac:dyDescent="0.3">
      <c r="B104" t="str">
        <f>TEXT(Exceptions[[#This Row],[Date]],"MMMM")</f>
        <v>January</v>
      </c>
      <c r="C104" s="145"/>
      <c r="D104" s="135"/>
      <c r="E104" s="135"/>
      <c r="F104" s="102"/>
      <c r="G104" s="102"/>
      <c r="H104" s="102"/>
      <c r="I104" s="42" t="str">
        <f>IF(OR(ISBLANK(Exceptions[[#This Row],[Start]]),ISBLANK(Exceptions[[#This Row],[End]])),"",(Exceptions[[#This Row],[End]]-Exceptions[[#This Row],[Start]])*1440)</f>
        <v/>
      </c>
      <c r="J104" s="42" t="str">
        <f>IF(ISBLANK(Exceptions[[#This Row],[Date]]),"",IF(Exceptions[[#This Row],[Activity]]="Instruction",Exceptions[[#This Row],[Elapsed]],0))</f>
        <v/>
      </c>
      <c r="K104" s="42" t="str">
        <f>IF(ISBLANK(Exceptions[[#This Row],[Activity]]),"",IF(_xlfn.XLOOKUP(Exceptions[[#This Row],[Activity]],Types_of_Activity[Type of Activity],Types_of_Activity[Classification])=2,Exceptions[[#This Row],[Elapsed]],0))</f>
        <v/>
      </c>
    </row>
    <row r="105" spans="2:11" x14ac:dyDescent="0.3">
      <c r="B105" t="str">
        <f>TEXT(Exceptions[[#This Row],[Date]],"MMMM")</f>
        <v>January</v>
      </c>
      <c r="C105" s="145"/>
      <c r="D105" s="135"/>
      <c r="E105" s="135"/>
      <c r="F105" s="102"/>
      <c r="G105" s="102"/>
      <c r="H105" s="102"/>
      <c r="I105" s="42" t="str">
        <f>IF(OR(ISBLANK(Exceptions[[#This Row],[Start]]),ISBLANK(Exceptions[[#This Row],[End]])),"",(Exceptions[[#This Row],[End]]-Exceptions[[#This Row],[Start]])*1440)</f>
        <v/>
      </c>
      <c r="J105" s="42" t="str">
        <f>IF(ISBLANK(Exceptions[[#This Row],[Date]]),"",IF(Exceptions[[#This Row],[Activity]]="Instruction",Exceptions[[#This Row],[Elapsed]],0))</f>
        <v/>
      </c>
      <c r="K105" s="42" t="str">
        <f>IF(ISBLANK(Exceptions[[#This Row],[Activity]]),"",IF(_xlfn.XLOOKUP(Exceptions[[#This Row],[Activity]],Types_of_Activity[Type of Activity],Types_of_Activity[Classification])=2,Exceptions[[#This Row],[Elapsed]],0))</f>
        <v/>
      </c>
    </row>
    <row r="106" spans="2:11" x14ac:dyDescent="0.3">
      <c r="B106" t="str">
        <f>TEXT(Exceptions[[#This Row],[Date]],"MMMM")</f>
        <v>January</v>
      </c>
      <c r="C106" s="145"/>
      <c r="D106" s="135"/>
      <c r="E106" s="135"/>
      <c r="F106" s="102"/>
      <c r="G106" s="102"/>
      <c r="H106" s="102"/>
      <c r="I106" s="42" t="str">
        <f>IF(OR(ISBLANK(Exceptions[[#This Row],[Start]]),ISBLANK(Exceptions[[#This Row],[End]])),"",(Exceptions[[#This Row],[End]]-Exceptions[[#This Row],[Start]])*1440)</f>
        <v/>
      </c>
      <c r="J106" s="42" t="str">
        <f>IF(ISBLANK(Exceptions[[#This Row],[Date]]),"",IF(Exceptions[[#This Row],[Activity]]="Instruction",Exceptions[[#This Row],[Elapsed]],0))</f>
        <v/>
      </c>
      <c r="K106" s="42" t="str">
        <f>IF(ISBLANK(Exceptions[[#This Row],[Activity]]),"",IF(_xlfn.XLOOKUP(Exceptions[[#This Row],[Activity]],Types_of_Activity[Type of Activity],Types_of_Activity[Classification])=2,Exceptions[[#This Row],[Elapsed]],0))</f>
        <v/>
      </c>
    </row>
    <row r="107" spans="2:11" x14ac:dyDescent="0.3">
      <c r="B107" t="str">
        <f>TEXT(Exceptions[[#This Row],[Date]],"MMMM")</f>
        <v>January</v>
      </c>
      <c r="C107" s="145"/>
      <c r="D107" s="135"/>
      <c r="E107" s="135"/>
      <c r="F107" s="102"/>
      <c r="G107" s="102"/>
      <c r="H107" s="102"/>
      <c r="I107" s="42" t="str">
        <f>IF(OR(ISBLANK(Exceptions[[#This Row],[Start]]),ISBLANK(Exceptions[[#This Row],[End]])),"",(Exceptions[[#This Row],[End]]-Exceptions[[#This Row],[Start]])*1440)</f>
        <v/>
      </c>
      <c r="J107" s="42" t="str">
        <f>IF(ISBLANK(Exceptions[[#This Row],[Date]]),"",IF(Exceptions[[#This Row],[Activity]]="Instruction",Exceptions[[#This Row],[Elapsed]],0))</f>
        <v/>
      </c>
      <c r="K107" s="42" t="str">
        <f>IF(ISBLANK(Exceptions[[#This Row],[Activity]]),"",IF(_xlfn.XLOOKUP(Exceptions[[#This Row],[Activity]],Types_of_Activity[Type of Activity],Types_of_Activity[Classification])=2,Exceptions[[#This Row],[Elapsed]],0))</f>
        <v/>
      </c>
    </row>
    <row r="108" spans="2:11" x14ac:dyDescent="0.3">
      <c r="B108" t="str">
        <f>TEXT(Exceptions[[#This Row],[Date]],"MMMM")</f>
        <v>January</v>
      </c>
      <c r="C108" s="145"/>
      <c r="D108" s="135"/>
      <c r="E108" s="135"/>
      <c r="F108" s="102"/>
      <c r="G108" s="102"/>
      <c r="H108" s="102"/>
      <c r="I108" s="42" t="str">
        <f>IF(OR(ISBLANK(Exceptions[[#This Row],[Start]]),ISBLANK(Exceptions[[#This Row],[End]])),"",(Exceptions[[#This Row],[End]]-Exceptions[[#This Row],[Start]])*1440)</f>
        <v/>
      </c>
      <c r="J108" s="42" t="str">
        <f>IF(ISBLANK(Exceptions[[#This Row],[Date]]),"",IF(Exceptions[[#This Row],[Activity]]="Instruction",Exceptions[[#This Row],[Elapsed]],0))</f>
        <v/>
      </c>
      <c r="K108" s="42" t="str">
        <f>IF(ISBLANK(Exceptions[[#This Row],[Activity]]),"",IF(_xlfn.XLOOKUP(Exceptions[[#This Row],[Activity]],Types_of_Activity[Type of Activity],Types_of_Activity[Classification])=2,Exceptions[[#This Row],[Elapsed]],0))</f>
        <v/>
      </c>
    </row>
    <row r="109" spans="2:11" x14ac:dyDescent="0.3">
      <c r="B109" t="str">
        <f>TEXT(Exceptions[[#This Row],[Date]],"MMMM")</f>
        <v>January</v>
      </c>
      <c r="C109" s="145"/>
      <c r="D109" s="135"/>
      <c r="E109" s="135"/>
      <c r="F109" s="102"/>
      <c r="G109" s="102"/>
      <c r="H109" s="102"/>
      <c r="I109" s="42" t="str">
        <f>IF(OR(ISBLANK(Exceptions[[#This Row],[Start]]),ISBLANK(Exceptions[[#This Row],[End]])),"",(Exceptions[[#This Row],[End]]-Exceptions[[#This Row],[Start]])*1440)</f>
        <v/>
      </c>
      <c r="J109" s="42" t="str">
        <f>IF(ISBLANK(Exceptions[[#This Row],[Date]]),"",IF(Exceptions[[#This Row],[Activity]]="Instruction",Exceptions[[#This Row],[Elapsed]],0))</f>
        <v/>
      </c>
      <c r="K109" s="42" t="str">
        <f>IF(ISBLANK(Exceptions[[#This Row],[Activity]]),"",IF(_xlfn.XLOOKUP(Exceptions[[#This Row],[Activity]],Types_of_Activity[Type of Activity],Types_of_Activity[Classification])=2,Exceptions[[#This Row],[Elapsed]],0))</f>
        <v/>
      </c>
    </row>
    <row r="110" spans="2:11" x14ac:dyDescent="0.3">
      <c r="B110" t="str">
        <f>TEXT(Exceptions[[#This Row],[Date]],"MMMM")</f>
        <v>January</v>
      </c>
      <c r="C110" s="145"/>
      <c r="D110" s="135"/>
      <c r="E110" s="135"/>
      <c r="F110" s="102"/>
      <c r="G110" s="102"/>
      <c r="H110" s="102"/>
      <c r="I110" s="42" t="str">
        <f>IF(OR(ISBLANK(Exceptions[[#This Row],[Start]]),ISBLANK(Exceptions[[#This Row],[End]])),"",(Exceptions[[#This Row],[End]]-Exceptions[[#This Row],[Start]])*1440)</f>
        <v/>
      </c>
      <c r="J110" s="42" t="str">
        <f>IF(ISBLANK(Exceptions[[#This Row],[Date]]),"",IF(Exceptions[[#This Row],[Activity]]="Instruction",Exceptions[[#This Row],[Elapsed]],0))</f>
        <v/>
      </c>
      <c r="K110" s="42" t="str">
        <f>IF(ISBLANK(Exceptions[[#This Row],[Activity]]),"",IF(_xlfn.XLOOKUP(Exceptions[[#This Row],[Activity]],Types_of_Activity[Type of Activity],Types_of_Activity[Classification])=2,Exceptions[[#This Row],[Elapsed]],0))</f>
        <v/>
      </c>
    </row>
    <row r="111" spans="2:11" x14ac:dyDescent="0.3">
      <c r="B111" t="str">
        <f>TEXT(Exceptions[[#This Row],[Date]],"MMMM")</f>
        <v>January</v>
      </c>
      <c r="C111" s="145"/>
      <c r="D111" s="135"/>
      <c r="E111" s="135"/>
      <c r="F111" s="102"/>
      <c r="G111" s="102"/>
      <c r="H111" s="102"/>
      <c r="I111" s="42" t="str">
        <f>IF(OR(ISBLANK(Exceptions[[#This Row],[Start]]),ISBLANK(Exceptions[[#This Row],[End]])),"",(Exceptions[[#This Row],[End]]-Exceptions[[#This Row],[Start]])*1440)</f>
        <v/>
      </c>
      <c r="J111" s="42" t="str">
        <f>IF(ISBLANK(Exceptions[[#This Row],[Date]]),"",IF(Exceptions[[#This Row],[Activity]]="Instruction",Exceptions[[#This Row],[Elapsed]],0))</f>
        <v/>
      </c>
      <c r="K111" s="42" t="str">
        <f>IF(ISBLANK(Exceptions[[#This Row],[Activity]]),"",IF(_xlfn.XLOOKUP(Exceptions[[#This Row],[Activity]],Types_of_Activity[Type of Activity],Types_of_Activity[Classification])=2,Exceptions[[#This Row],[Elapsed]],0))</f>
        <v/>
      </c>
    </row>
    <row r="112" spans="2:11" x14ac:dyDescent="0.3">
      <c r="B112" t="str">
        <f>TEXT(Exceptions[[#This Row],[Date]],"MMMM")</f>
        <v>January</v>
      </c>
      <c r="C112" s="145"/>
      <c r="D112" s="135"/>
      <c r="E112" s="135"/>
      <c r="F112" s="102"/>
      <c r="G112" s="102"/>
      <c r="H112" s="102"/>
      <c r="I112" s="42" t="str">
        <f>IF(OR(ISBLANK(Exceptions[[#This Row],[Start]]),ISBLANK(Exceptions[[#This Row],[End]])),"",(Exceptions[[#This Row],[End]]-Exceptions[[#This Row],[Start]])*1440)</f>
        <v/>
      </c>
      <c r="J112" s="42" t="str">
        <f>IF(ISBLANK(Exceptions[[#This Row],[Date]]),"",IF(Exceptions[[#This Row],[Activity]]="Instruction",Exceptions[[#This Row],[Elapsed]],0))</f>
        <v/>
      </c>
      <c r="K112" s="42" t="str">
        <f>IF(ISBLANK(Exceptions[[#This Row],[Activity]]),"",IF(_xlfn.XLOOKUP(Exceptions[[#This Row],[Activity]],Types_of_Activity[Type of Activity],Types_of_Activity[Classification])=2,Exceptions[[#This Row],[Elapsed]],0))</f>
        <v/>
      </c>
    </row>
    <row r="113" spans="2:11" x14ac:dyDescent="0.3">
      <c r="B113" t="str">
        <f>TEXT(Exceptions[[#This Row],[Date]],"MMMM")</f>
        <v>January</v>
      </c>
      <c r="C113" s="145"/>
      <c r="D113" s="135"/>
      <c r="E113" s="135"/>
      <c r="F113" s="102"/>
      <c r="G113" s="102"/>
      <c r="H113" s="102"/>
      <c r="I113" s="42" t="str">
        <f>IF(OR(ISBLANK(Exceptions[[#This Row],[Start]]),ISBLANK(Exceptions[[#This Row],[End]])),"",(Exceptions[[#This Row],[End]]-Exceptions[[#This Row],[Start]])*1440)</f>
        <v/>
      </c>
      <c r="J113" s="42" t="str">
        <f>IF(ISBLANK(Exceptions[[#This Row],[Date]]),"",IF(Exceptions[[#This Row],[Activity]]="Instruction",Exceptions[[#This Row],[Elapsed]],0))</f>
        <v/>
      </c>
      <c r="K113" s="42" t="str">
        <f>IF(ISBLANK(Exceptions[[#This Row],[Activity]]),"",IF(_xlfn.XLOOKUP(Exceptions[[#This Row],[Activity]],Types_of_Activity[Type of Activity],Types_of_Activity[Classification])=2,Exceptions[[#This Row],[Elapsed]],0))</f>
        <v/>
      </c>
    </row>
    <row r="114" spans="2:11" x14ac:dyDescent="0.3">
      <c r="B114" t="str">
        <f>TEXT(Exceptions[[#This Row],[Date]],"MMMM")</f>
        <v>January</v>
      </c>
      <c r="C114" s="145"/>
      <c r="D114" s="135"/>
      <c r="E114" s="135"/>
      <c r="F114" s="102"/>
      <c r="G114" s="102"/>
      <c r="H114" s="102"/>
      <c r="I114" s="42" t="str">
        <f>IF(OR(ISBLANK(Exceptions[[#This Row],[Start]]),ISBLANK(Exceptions[[#This Row],[End]])),"",(Exceptions[[#This Row],[End]]-Exceptions[[#This Row],[Start]])*1440)</f>
        <v/>
      </c>
      <c r="J114" s="42" t="str">
        <f>IF(ISBLANK(Exceptions[[#This Row],[Date]]),"",IF(Exceptions[[#This Row],[Activity]]="Instruction",Exceptions[[#This Row],[Elapsed]],0))</f>
        <v/>
      </c>
      <c r="K114" s="42" t="str">
        <f>IF(ISBLANK(Exceptions[[#This Row],[Activity]]),"",IF(_xlfn.XLOOKUP(Exceptions[[#This Row],[Activity]],Types_of_Activity[Type of Activity],Types_of_Activity[Classification])=2,Exceptions[[#This Row],[Elapsed]],0))</f>
        <v/>
      </c>
    </row>
    <row r="115" spans="2:11" x14ac:dyDescent="0.3">
      <c r="B115" t="str">
        <f>TEXT(Exceptions[[#This Row],[Date]],"MMMM")</f>
        <v>January</v>
      </c>
      <c r="C115" s="145"/>
      <c r="D115" s="135"/>
      <c r="E115" s="135"/>
      <c r="F115" s="102"/>
      <c r="G115" s="102"/>
      <c r="H115" s="102"/>
      <c r="I115" s="42" t="str">
        <f>IF(OR(ISBLANK(Exceptions[[#This Row],[Start]]),ISBLANK(Exceptions[[#This Row],[End]])),"",(Exceptions[[#This Row],[End]]-Exceptions[[#This Row],[Start]])*1440)</f>
        <v/>
      </c>
      <c r="J115" s="42" t="str">
        <f>IF(ISBLANK(Exceptions[[#This Row],[Date]]),"",IF(Exceptions[[#This Row],[Activity]]="Instruction",Exceptions[[#This Row],[Elapsed]],0))</f>
        <v/>
      </c>
      <c r="K115" s="42" t="str">
        <f>IF(ISBLANK(Exceptions[[#This Row],[Activity]]),"",IF(_xlfn.XLOOKUP(Exceptions[[#This Row],[Activity]],Types_of_Activity[Type of Activity],Types_of_Activity[Classification])=2,Exceptions[[#This Row],[Elapsed]],0))</f>
        <v/>
      </c>
    </row>
    <row r="116" spans="2:11" x14ac:dyDescent="0.3">
      <c r="B116" t="str">
        <f>TEXT(Exceptions[[#This Row],[Date]],"MMMM")</f>
        <v>January</v>
      </c>
      <c r="C116" s="145"/>
      <c r="D116" s="135"/>
      <c r="E116" s="135"/>
      <c r="F116" s="102"/>
      <c r="G116" s="102"/>
      <c r="H116" s="102"/>
      <c r="I116" s="42" t="str">
        <f>IF(OR(ISBLANK(Exceptions[[#This Row],[Start]]),ISBLANK(Exceptions[[#This Row],[End]])),"",(Exceptions[[#This Row],[End]]-Exceptions[[#This Row],[Start]])*1440)</f>
        <v/>
      </c>
      <c r="J116" s="42" t="str">
        <f>IF(ISBLANK(Exceptions[[#This Row],[Date]]),"",IF(Exceptions[[#This Row],[Activity]]="Instruction",Exceptions[[#This Row],[Elapsed]],0))</f>
        <v/>
      </c>
      <c r="K116" s="42" t="str">
        <f>IF(ISBLANK(Exceptions[[#This Row],[Activity]]),"",IF(_xlfn.XLOOKUP(Exceptions[[#This Row],[Activity]],Types_of_Activity[Type of Activity],Types_of_Activity[Classification])=2,Exceptions[[#This Row],[Elapsed]],0))</f>
        <v/>
      </c>
    </row>
    <row r="117" spans="2:11" x14ac:dyDescent="0.3">
      <c r="B117" t="str">
        <f>TEXT(Exceptions[[#This Row],[Date]],"MMMM")</f>
        <v>January</v>
      </c>
      <c r="C117" s="145"/>
      <c r="D117" s="135"/>
      <c r="E117" s="135"/>
      <c r="F117" s="102"/>
      <c r="G117" s="102"/>
      <c r="H117" s="102"/>
      <c r="I117" s="42" t="str">
        <f>IF(OR(ISBLANK(Exceptions[[#This Row],[Start]]),ISBLANK(Exceptions[[#This Row],[End]])),"",(Exceptions[[#This Row],[End]]-Exceptions[[#This Row],[Start]])*1440)</f>
        <v/>
      </c>
      <c r="J117" s="42" t="str">
        <f>IF(ISBLANK(Exceptions[[#This Row],[Date]]),"",IF(Exceptions[[#This Row],[Activity]]="Instruction",Exceptions[[#This Row],[Elapsed]],0))</f>
        <v/>
      </c>
      <c r="K117" s="42" t="str">
        <f>IF(ISBLANK(Exceptions[[#This Row],[Activity]]),"",IF(_xlfn.XLOOKUP(Exceptions[[#This Row],[Activity]],Types_of_Activity[Type of Activity],Types_of_Activity[Classification])=2,Exceptions[[#This Row],[Elapsed]],0))</f>
        <v/>
      </c>
    </row>
    <row r="118" spans="2:11" x14ac:dyDescent="0.3">
      <c r="B118" t="str">
        <f>TEXT(Exceptions[[#This Row],[Date]],"MMMM")</f>
        <v>January</v>
      </c>
      <c r="C118" s="145"/>
      <c r="D118" s="135"/>
      <c r="E118" s="135"/>
      <c r="F118" s="102"/>
      <c r="G118" s="102"/>
      <c r="H118" s="102"/>
      <c r="I118" s="42" t="str">
        <f>IF(OR(ISBLANK(Exceptions[[#This Row],[Start]]),ISBLANK(Exceptions[[#This Row],[End]])),"",(Exceptions[[#This Row],[End]]-Exceptions[[#This Row],[Start]])*1440)</f>
        <v/>
      </c>
      <c r="J118" s="42" t="str">
        <f>IF(ISBLANK(Exceptions[[#This Row],[Date]]),"",IF(Exceptions[[#This Row],[Activity]]="Instruction",Exceptions[[#This Row],[Elapsed]],0))</f>
        <v/>
      </c>
      <c r="K118" s="42" t="str">
        <f>IF(ISBLANK(Exceptions[[#This Row],[Activity]]),"",IF(_xlfn.XLOOKUP(Exceptions[[#This Row],[Activity]],Types_of_Activity[Type of Activity],Types_of_Activity[Classification])=2,Exceptions[[#This Row],[Elapsed]],0))</f>
        <v/>
      </c>
    </row>
    <row r="119" spans="2:11" x14ac:dyDescent="0.3">
      <c r="B119" t="str">
        <f>TEXT(Exceptions[[#This Row],[Date]],"MMMM")</f>
        <v>January</v>
      </c>
      <c r="C119" s="145"/>
      <c r="D119" s="135"/>
      <c r="E119" s="135"/>
      <c r="F119" s="102"/>
      <c r="G119" s="102"/>
      <c r="H119" s="102"/>
      <c r="I119" s="42" t="str">
        <f>IF(OR(ISBLANK(Exceptions[[#This Row],[Start]]),ISBLANK(Exceptions[[#This Row],[End]])),"",(Exceptions[[#This Row],[End]]-Exceptions[[#This Row],[Start]])*1440)</f>
        <v/>
      </c>
      <c r="J119" s="42" t="str">
        <f>IF(ISBLANK(Exceptions[[#This Row],[Date]]),"",IF(Exceptions[[#This Row],[Activity]]="Instruction",Exceptions[[#This Row],[Elapsed]],0))</f>
        <v/>
      </c>
      <c r="K119" s="42" t="str">
        <f>IF(ISBLANK(Exceptions[[#This Row],[Activity]]),"",IF(_xlfn.XLOOKUP(Exceptions[[#This Row],[Activity]],Types_of_Activity[Type of Activity],Types_of_Activity[Classification])=2,Exceptions[[#This Row],[Elapsed]],0))</f>
        <v/>
      </c>
    </row>
    <row r="120" spans="2:11" x14ac:dyDescent="0.3">
      <c r="B120" t="str">
        <f>TEXT(Exceptions[[#This Row],[Date]],"MMMM")</f>
        <v>January</v>
      </c>
      <c r="C120" s="145"/>
      <c r="D120" s="135"/>
      <c r="E120" s="135"/>
      <c r="F120" s="102"/>
      <c r="G120" s="102"/>
      <c r="H120" s="102"/>
      <c r="I120" s="42" t="str">
        <f>IF(OR(ISBLANK(Exceptions[[#This Row],[Start]]),ISBLANK(Exceptions[[#This Row],[End]])),"",(Exceptions[[#This Row],[End]]-Exceptions[[#This Row],[Start]])*1440)</f>
        <v/>
      </c>
      <c r="J120" s="42" t="str">
        <f>IF(ISBLANK(Exceptions[[#This Row],[Date]]),"",IF(Exceptions[[#This Row],[Activity]]="Instruction",Exceptions[[#This Row],[Elapsed]],0))</f>
        <v/>
      </c>
      <c r="K120" s="42" t="str">
        <f>IF(ISBLANK(Exceptions[[#This Row],[Activity]]),"",IF(_xlfn.XLOOKUP(Exceptions[[#This Row],[Activity]],Types_of_Activity[Type of Activity],Types_of_Activity[Classification])=2,Exceptions[[#This Row],[Elapsed]],0))</f>
        <v/>
      </c>
    </row>
    <row r="121" spans="2:11" x14ac:dyDescent="0.3">
      <c r="B121" t="str">
        <f>TEXT(Exceptions[[#This Row],[Date]],"MMMM")</f>
        <v>January</v>
      </c>
      <c r="C121" s="145"/>
      <c r="D121" s="135"/>
      <c r="E121" s="135"/>
      <c r="F121" s="102"/>
      <c r="G121" s="102"/>
      <c r="H121" s="102"/>
      <c r="I121" s="42" t="str">
        <f>IF(OR(ISBLANK(Exceptions[[#This Row],[Start]]),ISBLANK(Exceptions[[#This Row],[End]])),"",(Exceptions[[#This Row],[End]]-Exceptions[[#This Row],[Start]])*1440)</f>
        <v/>
      </c>
      <c r="J121" s="42" t="str">
        <f>IF(ISBLANK(Exceptions[[#This Row],[Date]]),"",IF(Exceptions[[#This Row],[Activity]]="Instruction",Exceptions[[#This Row],[Elapsed]],0))</f>
        <v/>
      </c>
      <c r="K121" s="42" t="str">
        <f>IF(ISBLANK(Exceptions[[#This Row],[Activity]]),"",IF(_xlfn.XLOOKUP(Exceptions[[#This Row],[Activity]],Types_of_Activity[Type of Activity],Types_of_Activity[Classification])=2,Exceptions[[#This Row],[Elapsed]],0))</f>
        <v/>
      </c>
    </row>
    <row r="122" spans="2:11" x14ac:dyDescent="0.3">
      <c r="B122" t="str">
        <f>TEXT(Exceptions[[#This Row],[Date]],"MMMM")</f>
        <v>January</v>
      </c>
      <c r="C122" s="145"/>
      <c r="D122" s="135"/>
      <c r="E122" s="135"/>
      <c r="F122" s="102"/>
      <c r="G122" s="102"/>
      <c r="H122" s="102"/>
      <c r="I122" s="42" t="str">
        <f>IF(OR(ISBLANK(Exceptions[[#This Row],[Start]]),ISBLANK(Exceptions[[#This Row],[End]])),"",(Exceptions[[#This Row],[End]]-Exceptions[[#This Row],[Start]])*1440)</f>
        <v/>
      </c>
      <c r="J122" s="42" t="str">
        <f>IF(ISBLANK(Exceptions[[#This Row],[Date]]),"",IF(Exceptions[[#This Row],[Activity]]="Instruction",Exceptions[[#This Row],[Elapsed]],0))</f>
        <v/>
      </c>
      <c r="K122" s="42" t="str">
        <f>IF(ISBLANK(Exceptions[[#This Row],[Activity]]),"",IF(_xlfn.XLOOKUP(Exceptions[[#This Row],[Activity]],Types_of_Activity[Type of Activity],Types_of_Activity[Classification])=2,Exceptions[[#This Row],[Elapsed]],0))</f>
        <v/>
      </c>
    </row>
    <row r="123" spans="2:11" x14ac:dyDescent="0.3">
      <c r="B123" t="str">
        <f>TEXT(Exceptions[[#This Row],[Date]],"MMMM")</f>
        <v>January</v>
      </c>
      <c r="C123" s="145"/>
      <c r="D123" s="135"/>
      <c r="E123" s="135"/>
      <c r="F123" s="102"/>
      <c r="G123" s="102"/>
      <c r="H123" s="102"/>
      <c r="I123" s="42" t="str">
        <f>IF(OR(ISBLANK(Exceptions[[#This Row],[Start]]),ISBLANK(Exceptions[[#This Row],[End]])),"",(Exceptions[[#This Row],[End]]-Exceptions[[#This Row],[Start]])*1440)</f>
        <v/>
      </c>
      <c r="J123" s="42" t="str">
        <f>IF(ISBLANK(Exceptions[[#This Row],[Date]]),"",IF(Exceptions[[#This Row],[Activity]]="Instruction",Exceptions[[#This Row],[Elapsed]],0))</f>
        <v/>
      </c>
      <c r="K123" s="42" t="str">
        <f>IF(ISBLANK(Exceptions[[#This Row],[Activity]]),"",IF(_xlfn.XLOOKUP(Exceptions[[#This Row],[Activity]],Types_of_Activity[Type of Activity],Types_of_Activity[Classification])=2,Exceptions[[#This Row],[Elapsed]],0))</f>
        <v/>
      </c>
    </row>
    <row r="124" spans="2:11" x14ac:dyDescent="0.3">
      <c r="B124" t="str">
        <f>TEXT(Exceptions[[#This Row],[Date]],"MMMM")</f>
        <v>January</v>
      </c>
      <c r="C124" s="145"/>
      <c r="D124" s="135"/>
      <c r="E124" s="135"/>
      <c r="F124" s="102"/>
      <c r="G124" s="102"/>
      <c r="H124" s="102"/>
      <c r="I124" s="42" t="str">
        <f>IF(OR(ISBLANK(Exceptions[[#This Row],[Start]]),ISBLANK(Exceptions[[#This Row],[End]])),"",(Exceptions[[#This Row],[End]]-Exceptions[[#This Row],[Start]])*1440)</f>
        <v/>
      </c>
      <c r="J124" s="42" t="str">
        <f>IF(ISBLANK(Exceptions[[#This Row],[Date]]),"",IF(Exceptions[[#This Row],[Activity]]="Instruction",Exceptions[[#This Row],[Elapsed]],0))</f>
        <v/>
      </c>
      <c r="K124" s="42" t="str">
        <f>IF(ISBLANK(Exceptions[[#This Row],[Activity]]),"",IF(_xlfn.XLOOKUP(Exceptions[[#This Row],[Activity]],Types_of_Activity[Type of Activity],Types_of_Activity[Classification])=2,Exceptions[[#This Row],[Elapsed]],0))</f>
        <v/>
      </c>
    </row>
    <row r="125" spans="2:11" x14ac:dyDescent="0.3">
      <c r="B125" t="str">
        <f>TEXT(Exceptions[[#This Row],[Date]],"MMMM")</f>
        <v>January</v>
      </c>
      <c r="C125" s="145"/>
      <c r="D125" s="135"/>
      <c r="E125" s="135"/>
      <c r="F125" s="102"/>
      <c r="G125" s="102"/>
      <c r="H125" s="102"/>
      <c r="I125" s="42" t="str">
        <f>IF(OR(ISBLANK(Exceptions[[#This Row],[Start]]),ISBLANK(Exceptions[[#This Row],[End]])),"",(Exceptions[[#This Row],[End]]-Exceptions[[#This Row],[Start]])*1440)</f>
        <v/>
      </c>
      <c r="J125" s="42" t="str">
        <f>IF(ISBLANK(Exceptions[[#This Row],[Date]]),"",IF(Exceptions[[#This Row],[Activity]]="Instruction",Exceptions[[#This Row],[Elapsed]],0))</f>
        <v/>
      </c>
      <c r="K125" s="42" t="str">
        <f>IF(ISBLANK(Exceptions[[#This Row],[Activity]]),"",IF(_xlfn.XLOOKUP(Exceptions[[#This Row],[Activity]],Types_of_Activity[Type of Activity],Types_of_Activity[Classification])=2,Exceptions[[#This Row],[Elapsed]],0))</f>
        <v/>
      </c>
    </row>
    <row r="126" spans="2:11" x14ac:dyDescent="0.3">
      <c r="B126" t="str">
        <f>TEXT(Exceptions[[#This Row],[Date]],"MMMM")</f>
        <v>January</v>
      </c>
      <c r="C126" s="145"/>
      <c r="D126" s="135"/>
      <c r="E126" s="135"/>
      <c r="F126" s="102"/>
      <c r="G126" s="102"/>
      <c r="H126" s="102"/>
      <c r="I126" s="42" t="str">
        <f>IF(OR(ISBLANK(Exceptions[[#This Row],[Start]]),ISBLANK(Exceptions[[#This Row],[End]])),"",(Exceptions[[#This Row],[End]]-Exceptions[[#This Row],[Start]])*1440)</f>
        <v/>
      </c>
      <c r="J126" s="42" t="str">
        <f>IF(ISBLANK(Exceptions[[#This Row],[Date]]),"",IF(Exceptions[[#This Row],[Activity]]="Instruction",Exceptions[[#This Row],[Elapsed]],0))</f>
        <v/>
      </c>
      <c r="K126" s="42" t="str">
        <f>IF(ISBLANK(Exceptions[[#This Row],[Activity]]),"",IF(_xlfn.XLOOKUP(Exceptions[[#This Row],[Activity]],Types_of_Activity[Type of Activity],Types_of_Activity[Classification])=2,Exceptions[[#This Row],[Elapsed]],0))</f>
        <v/>
      </c>
    </row>
    <row r="127" spans="2:11" x14ac:dyDescent="0.3">
      <c r="B127" t="str">
        <f>TEXT(Exceptions[[#This Row],[Date]],"MMMM")</f>
        <v>January</v>
      </c>
      <c r="C127" s="145"/>
      <c r="D127" s="135"/>
      <c r="E127" s="135"/>
      <c r="F127" s="102"/>
      <c r="G127" s="102"/>
      <c r="H127" s="102"/>
      <c r="I127" s="42" t="str">
        <f>IF(OR(ISBLANK(Exceptions[[#This Row],[Start]]),ISBLANK(Exceptions[[#This Row],[End]])),"",(Exceptions[[#This Row],[End]]-Exceptions[[#This Row],[Start]])*1440)</f>
        <v/>
      </c>
      <c r="J127" s="42" t="str">
        <f>IF(ISBLANK(Exceptions[[#This Row],[Date]]),"",IF(Exceptions[[#This Row],[Activity]]="Instruction",Exceptions[[#This Row],[Elapsed]],0))</f>
        <v/>
      </c>
      <c r="K127" s="42" t="str">
        <f>IF(ISBLANK(Exceptions[[#This Row],[Activity]]),"",IF(_xlfn.XLOOKUP(Exceptions[[#This Row],[Activity]],Types_of_Activity[Type of Activity],Types_of_Activity[Classification])=2,Exceptions[[#This Row],[Elapsed]],0))</f>
        <v/>
      </c>
    </row>
    <row r="128" spans="2:11" x14ac:dyDescent="0.3">
      <c r="B128" t="str">
        <f>TEXT(Exceptions[[#This Row],[Date]],"MMMM")</f>
        <v>January</v>
      </c>
      <c r="C128" s="145"/>
      <c r="D128" s="135"/>
      <c r="E128" s="135"/>
      <c r="F128" s="102"/>
      <c r="G128" s="102"/>
      <c r="H128" s="102"/>
      <c r="I128" s="42" t="str">
        <f>IF(OR(ISBLANK(Exceptions[[#This Row],[Start]]),ISBLANK(Exceptions[[#This Row],[End]])),"",(Exceptions[[#This Row],[End]]-Exceptions[[#This Row],[Start]])*1440)</f>
        <v/>
      </c>
      <c r="J128" s="42" t="str">
        <f>IF(ISBLANK(Exceptions[[#This Row],[Date]]),"",IF(Exceptions[[#This Row],[Activity]]="Instruction",Exceptions[[#This Row],[Elapsed]],0))</f>
        <v/>
      </c>
      <c r="K128" s="42" t="str">
        <f>IF(ISBLANK(Exceptions[[#This Row],[Activity]]),"",IF(_xlfn.XLOOKUP(Exceptions[[#This Row],[Activity]],Types_of_Activity[Type of Activity],Types_of_Activity[Classification])=2,Exceptions[[#This Row],[Elapsed]],0))</f>
        <v/>
      </c>
    </row>
    <row r="129" spans="2:11" x14ac:dyDescent="0.3">
      <c r="B129" t="str">
        <f>TEXT(Exceptions[[#This Row],[Date]],"MMMM")</f>
        <v>January</v>
      </c>
      <c r="C129" s="145"/>
      <c r="D129" s="135"/>
      <c r="E129" s="135"/>
      <c r="F129" s="102"/>
      <c r="G129" s="102"/>
      <c r="H129" s="102"/>
      <c r="I129" s="42" t="str">
        <f>IF(OR(ISBLANK(Exceptions[[#This Row],[Start]]),ISBLANK(Exceptions[[#This Row],[End]])),"",(Exceptions[[#This Row],[End]]-Exceptions[[#This Row],[Start]])*1440)</f>
        <v/>
      </c>
      <c r="J129" s="42" t="str">
        <f>IF(ISBLANK(Exceptions[[#This Row],[Date]]),"",IF(Exceptions[[#This Row],[Activity]]="Instruction",Exceptions[[#This Row],[Elapsed]],0))</f>
        <v/>
      </c>
      <c r="K129" s="42" t="str">
        <f>IF(ISBLANK(Exceptions[[#This Row],[Activity]]),"",IF(_xlfn.XLOOKUP(Exceptions[[#This Row],[Activity]],Types_of_Activity[Type of Activity],Types_of_Activity[Classification])=2,Exceptions[[#This Row],[Elapsed]],0))</f>
        <v/>
      </c>
    </row>
    <row r="130" spans="2:11" x14ac:dyDescent="0.3">
      <c r="B130" t="str">
        <f>TEXT(Exceptions[[#This Row],[Date]],"MMMM")</f>
        <v>January</v>
      </c>
      <c r="C130" s="145"/>
      <c r="D130" s="135"/>
      <c r="E130" s="135"/>
      <c r="F130" s="102"/>
      <c r="G130" s="102"/>
      <c r="H130" s="102"/>
      <c r="I130" s="42" t="str">
        <f>IF(OR(ISBLANK(Exceptions[[#This Row],[Start]]),ISBLANK(Exceptions[[#This Row],[End]])),"",(Exceptions[[#This Row],[End]]-Exceptions[[#This Row],[Start]])*1440)</f>
        <v/>
      </c>
      <c r="J130" s="42" t="str">
        <f>IF(ISBLANK(Exceptions[[#This Row],[Date]]),"",IF(Exceptions[[#This Row],[Activity]]="Instruction",Exceptions[[#This Row],[Elapsed]],0))</f>
        <v/>
      </c>
      <c r="K130" s="42" t="str">
        <f>IF(ISBLANK(Exceptions[[#This Row],[Activity]]),"",IF(_xlfn.XLOOKUP(Exceptions[[#This Row],[Activity]],Types_of_Activity[Type of Activity],Types_of_Activity[Classification])=2,Exceptions[[#This Row],[Elapsed]],0))</f>
        <v/>
      </c>
    </row>
    <row r="131" spans="2:11" x14ac:dyDescent="0.3">
      <c r="B131" t="str">
        <f>TEXT(Exceptions[[#This Row],[Date]],"MMMM")</f>
        <v>January</v>
      </c>
      <c r="C131" s="145"/>
      <c r="D131" s="135"/>
      <c r="E131" s="135"/>
      <c r="F131" s="102"/>
      <c r="G131" s="102"/>
      <c r="H131" s="102"/>
      <c r="I131" s="42" t="str">
        <f>IF(OR(ISBLANK(Exceptions[[#This Row],[Start]]),ISBLANK(Exceptions[[#This Row],[End]])),"",(Exceptions[[#This Row],[End]]-Exceptions[[#This Row],[Start]])*1440)</f>
        <v/>
      </c>
      <c r="J131" s="42" t="str">
        <f>IF(ISBLANK(Exceptions[[#This Row],[Date]]),"",IF(Exceptions[[#This Row],[Activity]]="Instruction",Exceptions[[#This Row],[Elapsed]],0))</f>
        <v/>
      </c>
      <c r="K131" s="42" t="str">
        <f>IF(ISBLANK(Exceptions[[#This Row],[Activity]]),"",IF(_xlfn.XLOOKUP(Exceptions[[#This Row],[Activity]],Types_of_Activity[Type of Activity],Types_of_Activity[Classification])=2,Exceptions[[#This Row],[Elapsed]],0))</f>
        <v/>
      </c>
    </row>
    <row r="132" spans="2:11" x14ac:dyDescent="0.3">
      <c r="B132" t="str">
        <f>TEXT(Exceptions[[#This Row],[Date]],"MMMM")</f>
        <v>January</v>
      </c>
      <c r="C132" s="145"/>
      <c r="D132" s="135"/>
      <c r="E132" s="135"/>
      <c r="F132" s="102"/>
      <c r="G132" s="102"/>
      <c r="H132" s="102"/>
      <c r="I132" s="42" t="str">
        <f>IF(OR(ISBLANK(Exceptions[[#This Row],[Start]]),ISBLANK(Exceptions[[#This Row],[End]])),"",(Exceptions[[#This Row],[End]]-Exceptions[[#This Row],[Start]])*1440)</f>
        <v/>
      </c>
      <c r="J132" s="42" t="str">
        <f>IF(ISBLANK(Exceptions[[#This Row],[Date]]),"",IF(Exceptions[[#This Row],[Activity]]="Instruction",Exceptions[[#This Row],[Elapsed]],0))</f>
        <v/>
      </c>
      <c r="K132" s="42" t="str">
        <f>IF(ISBLANK(Exceptions[[#This Row],[Activity]]),"",IF(_xlfn.XLOOKUP(Exceptions[[#This Row],[Activity]],Types_of_Activity[Type of Activity],Types_of_Activity[Classification])=2,Exceptions[[#This Row],[Elapsed]],0))</f>
        <v/>
      </c>
    </row>
    <row r="133" spans="2:11" x14ac:dyDescent="0.3">
      <c r="B133" t="str">
        <f>TEXT(Exceptions[[#This Row],[Date]],"MMMM")</f>
        <v>January</v>
      </c>
      <c r="C133" s="145"/>
      <c r="D133" s="135"/>
      <c r="E133" s="135"/>
      <c r="F133" s="102"/>
      <c r="G133" s="102"/>
      <c r="H133" s="102"/>
      <c r="I133" s="42" t="str">
        <f>IF(OR(ISBLANK(Exceptions[[#This Row],[Start]]),ISBLANK(Exceptions[[#This Row],[End]])),"",(Exceptions[[#This Row],[End]]-Exceptions[[#This Row],[Start]])*1440)</f>
        <v/>
      </c>
      <c r="J133" s="42" t="str">
        <f>IF(ISBLANK(Exceptions[[#This Row],[Date]]),"",IF(Exceptions[[#This Row],[Activity]]="Instruction",Exceptions[[#This Row],[Elapsed]],0))</f>
        <v/>
      </c>
      <c r="K133" s="42" t="str">
        <f>IF(ISBLANK(Exceptions[[#This Row],[Activity]]),"",IF(_xlfn.XLOOKUP(Exceptions[[#This Row],[Activity]],Types_of_Activity[Type of Activity],Types_of_Activity[Classification])=2,Exceptions[[#This Row],[Elapsed]],0))</f>
        <v/>
      </c>
    </row>
    <row r="134" spans="2:11" x14ac:dyDescent="0.3">
      <c r="B134" t="str">
        <f>TEXT(Exceptions[[#This Row],[Date]],"MMMM")</f>
        <v>January</v>
      </c>
      <c r="C134" s="145"/>
      <c r="D134" s="135"/>
      <c r="E134" s="135"/>
      <c r="F134" s="102"/>
      <c r="G134" s="102"/>
      <c r="H134" s="102"/>
      <c r="I134" s="42" t="str">
        <f>IF(OR(ISBLANK(Exceptions[[#This Row],[Start]]),ISBLANK(Exceptions[[#This Row],[End]])),"",(Exceptions[[#This Row],[End]]-Exceptions[[#This Row],[Start]])*1440)</f>
        <v/>
      </c>
      <c r="J134" s="42" t="str">
        <f>IF(ISBLANK(Exceptions[[#This Row],[Date]]),"",IF(Exceptions[[#This Row],[Activity]]="Instruction",Exceptions[[#This Row],[Elapsed]],0))</f>
        <v/>
      </c>
      <c r="K134" s="42" t="str">
        <f>IF(ISBLANK(Exceptions[[#This Row],[Activity]]),"",IF(_xlfn.XLOOKUP(Exceptions[[#This Row],[Activity]],Types_of_Activity[Type of Activity],Types_of_Activity[Classification])=2,Exceptions[[#This Row],[Elapsed]],0))</f>
        <v/>
      </c>
    </row>
    <row r="135" spans="2:11" x14ac:dyDescent="0.3">
      <c r="B135" t="str">
        <f>TEXT(Exceptions[[#This Row],[Date]],"MMMM")</f>
        <v>January</v>
      </c>
      <c r="C135" s="145"/>
      <c r="D135" s="135"/>
      <c r="E135" s="135"/>
      <c r="F135" s="102"/>
      <c r="G135" s="102"/>
      <c r="H135" s="102"/>
      <c r="I135" s="42" t="str">
        <f>IF(OR(ISBLANK(Exceptions[[#This Row],[Start]]),ISBLANK(Exceptions[[#This Row],[End]])),"",(Exceptions[[#This Row],[End]]-Exceptions[[#This Row],[Start]])*1440)</f>
        <v/>
      </c>
      <c r="J135" s="42" t="str">
        <f>IF(ISBLANK(Exceptions[[#This Row],[Date]]),"",IF(Exceptions[[#This Row],[Activity]]="Instruction",Exceptions[[#This Row],[Elapsed]],0))</f>
        <v/>
      </c>
      <c r="K135" s="42" t="str">
        <f>IF(ISBLANK(Exceptions[[#This Row],[Activity]]),"",IF(_xlfn.XLOOKUP(Exceptions[[#This Row],[Activity]],Types_of_Activity[Type of Activity],Types_of_Activity[Classification])=2,Exceptions[[#This Row],[Elapsed]],0))</f>
        <v/>
      </c>
    </row>
    <row r="136" spans="2:11" x14ac:dyDescent="0.3">
      <c r="B136" t="str">
        <f>TEXT(Exceptions[[#This Row],[Date]],"MMMM")</f>
        <v>January</v>
      </c>
      <c r="C136" s="145"/>
      <c r="D136" s="135"/>
      <c r="E136" s="135"/>
      <c r="F136" s="102"/>
      <c r="G136" s="102"/>
      <c r="H136" s="102"/>
      <c r="I136" s="42" t="str">
        <f>IF(OR(ISBLANK(Exceptions[[#This Row],[Start]]),ISBLANK(Exceptions[[#This Row],[End]])),"",(Exceptions[[#This Row],[End]]-Exceptions[[#This Row],[Start]])*1440)</f>
        <v/>
      </c>
      <c r="J136" s="42" t="str">
        <f>IF(ISBLANK(Exceptions[[#This Row],[Date]]),"",IF(Exceptions[[#This Row],[Activity]]="Instruction",Exceptions[[#This Row],[Elapsed]],0))</f>
        <v/>
      </c>
      <c r="K136" s="42" t="str">
        <f>IF(ISBLANK(Exceptions[[#This Row],[Activity]]),"",IF(_xlfn.XLOOKUP(Exceptions[[#This Row],[Activity]],Types_of_Activity[Type of Activity],Types_of_Activity[Classification])=2,Exceptions[[#This Row],[Elapsed]],0))</f>
        <v/>
      </c>
    </row>
    <row r="137" spans="2:11" x14ac:dyDescent="0.3">
      <c r="B137" t="str">
        <f>TEXT(Exceptions[[#This Row],[Date]],"MMMM")</f>
        <v>January</v>
      </c>
      <c r="C137" s="145"/>
      <c r="D137" s="135"/>
      <c r="E137" s="135"/>
      <c r="F137" s="102"/>
      <c r="G137" s="102"/>
      <c r="H137" s="102"/>
      <c r="I137" s="42" t="str">
        <f>IF(OR(ISBLANK(Exceptions[[#This Row],[Start]]),ISBLANK(Exceptions[[#This Row],[End]])),"",(Exceptions[[#This Row],[End]]-Exceptions[[#This Row],[Start]])*1440)</f>
        <v/>
      </c>
      <c r="J137" s="42" t="str">
        <f>IF(ISBLANK(Exceptions[[#This Row],[Date]]),"",IF(Exceptions[[#This Row],[Activity]]="Instruction",Exceptions[[#This Row],[Elapsed]],0))</f>
        <v/>
      </c>
      <c r="K137" s="42" t="str">
        <f>IF(ISBLANK(Exceptions[[#This Row],[Activity]]),"",IF(_xlfn.XLOOKUP(Exceptions[[#This Row],[Activity]],Types_of_Activity[Type of Activity],Types_of_Activity[Classification])=2,Exceptions[[#This Row],[Elapsed]],0))</f>
        <v/>
      </c>
    </row>
    <row r="138" spans="2:11" x14ac:dyDescent="0.3">
      <c r="B138" t="str">
        <f>TEXT(Exceptions[[#This Row],[Date]],"MMMM")</f>
        <v>January</v>
      </c>
      <c r="C138" s="145"/>
      <c r="D138" s="135"/>
      <c r="E138" s="135"/>
      <c r="F138" s="102"/>
      <c r="G138" s="102"/>
      <c r="H138" s="102"/>
      <c r="I138" s="42" t="str">
        <f>IF(OR(ISBLANK(Exceptions[[#This Row],[Start]]),ISBLANK(Exceptions[[#This Row],[End]])),"",(Exceptions[[#This Row],[End]]-Exceptions[[#This Row],[Start]])*1440)</f>
        <v/>
      </c>
      <c r="J138" s="42" t="str">
        <f>IF(ISBLANK(Exceptions[[#This Row],[Date]]),"",IF(Exceptions[[#This Row],[Activity]]="Instruction",Exceptions[[#This Row],[Elapsed]],0))</f>
        <v/>
      </c>
      <c r="K138" s="42" t="str">
        <f>IF(ISBLANK(Exceptions[[#This Row],[Activity]]),"",IF(_xlfn.XLOOKUP(Exceptions[[#This Row],[Activity]],Types_of_Activity[Type of Activity],Types_of_Activity[Classification])=2,Exceptions[[#This Row],[Elapsed]],0))</f>
        <v/>
      </c>
    </row>
    <row r="139" spans="2:11" x14ac:dyDescent="0.3">
      <c r="B139" t="str">
        <f>TEXT(Exceptions[[#This Row],[Date]],"MMMM")</f>
        <v>January</v>
      </c>
      <c r="C139" s="145"/>
      <c r="D139" s="135"/>
      <c r="E139" s="135"/>
      <c r="F139" s="102"/>
      <c r="G139" s="102"/>
      <c r="H139" s="102"/>
      <c r="I139" s="42" t="str">
        <f>IF(OR(ISBLANK(Exceptions[[#This Row],[Start]]),ISBLANK(Exceptions[[#This Row],[End]])),"",(Exceptions[[#This Row],[End]]-Exceptions[[#This Row],[Start]])*1440)</f>
        <v/>
      </c>
      <c r="J139" s="42" t="str">
        <f>IF(ISBLANK(Exceptions[[#This Row],[Date]]),"",IF(Exceptions[[#This Row],[Activity]]="Instruction",Exceptions[[#This Row],[Elapsed]],0))</f>
        <v/>
      </c>
      <c r="K139" s="42" t="str">
        <f>IF(ISBLANK(Exceptions[[#This Row],[Activity]]),"",IF(_xlfn.XLOOKUP(Exceptions[[#This Row],[Activity]],Types_of_Activity[Type of Activity],Types_of_Activity[Classification])=2,Exceptions[[#This Row],[Elapsed]],0))</f>
        <v/>
      </c>
    </row>
    <row r="140" spans="2:11" x14ac:dyDescent="0.3">
      <c r="B140" t="str">
        <f>TEXT(Exceptions[[#This Row],[Date]],"MMMM")</f>
        <v>January</v>
      </c>
      <c r="C140" s="145"/>
      <c r="D140" s="135"/>
      <c r="E140" s="135"/>
      <c r="F140" s="102"/>
      <c r="G140" s="102"/>
      <c r="H140" s="102"/>
      <c r="I140" s="42" t="str">
        <f>IF(OR(ISBLANK(Exceptions[[#This Row],[Start]]),ISBLANK(Exceptions[[#This Row],[End]])),"",(Exceptions[[#This Row],[End]]-Exceptions[[#This Row],[Start]])*1440)</f>
        <v/>
      </c>
      <c r="J140" s="42" t="str">
        <f>IF(ISBLANK(Exceptions[[#This Row],[Date]]),"",IF(Exceptions[[#This Row],[Activity]]="Instruction",Exceptions[[#This Row],[Elapsed]],0))</f>
        <v/>
      </c>
      <c r="K140" s="42" t="str">
        <f>IF(ISBLANK(Exceptions[[#This Row],[Activity]]),"",IF(_xlfn.XLOOKUP(Exceptions[[#This Row],[Activity]],Types_of_Activity[Type of Activity],Types_of_Activity[Classification])=2,Exceptions[[#This Row],[Elapsed]],0))</f>
        <v/>
      </c>
    </row>
    <row r="141" spans="2:11" x14ac:dyDescent="0.3">
      <c r="B141" t="str">
        <f>TEXT(Exceptions[[#This Row],[Date]],"MMMM")</f>
        <v>January</v>
      </c>
      <c r="C141" s="145"/>
      <c r="D141" s="135"/>
      <c r="E141" s="135"/>
      <c r="F141" s="102"/>
      <c r="G141" s="102"/>
      <c r="H141" s="102"/>
      <c r="I141" s="42" t="str">
        <f>IF(OR(ISBLANK(Exceptions[[#This Row],[Start]]),ISBLANK(Exceptions[[#This Row],[End]])),"",(Exceptions[[#This Row],[End]]-Exceptions[[#This Row],[Start]])*1440)</f>
        <v/>
      </c>
      <c r="J141" s="42" t="str">
        <f>IF(ISBLANK(Exceptions[[#This Row],[Date]]),"",IF(Exceptions[[#This Row],[Activity]]="Instruction",Exceptions[[#This Row],[Elapsed]],0))</f>
        <v/>
      </c>
      <c r="K141" s="42" t="str">
        <f>IF(ISBLANK(Exceptions[[#This Row],[Activity]]),"",IF(_xlfn.XLOOKUP(Exceptions[[#This Row],[Activity]],Types_of_Activity[Type of Activity],Types_of_Activity[Classification])=2,Exceptions[[#This Row],[Elapsed]],0))</f>
        <v/>
      </c>
    </row>
    <row r="142" spans="2:11" x14ac:dyDescent="0.3">
      <c r="B142" t="str">
        <f>TEXT(Exceptions[[#This Row],[Date]],"MMMM")</f>
        <v>January</v>
      </c>
      <c r="C142" s="145"/>
      <c r="D142" s="135"/>
      <c r="E142" s="135"/>
      <c r="F142" s="102"/>
      <c r="G142" s="102"/>
      <c r="H142" s="102"/>
      <c r="I142" s="42" t="str">
        <f>IF(OR(ISBLANK(Exceptions[[#This Row],[Start]]),ISBLANK(Exceptions[[#This Row],[End]])),"",(Exceptions[[#This Row],[End]]-Exceptions[[#This Row],[Start]])*1440)</f>
        <v/>
      </c>
      <c r="J142" s="42" t="str">
        <f>IF(ISBLANK(Exceptions[[#This Row],[Date]]),"",IF(Exceptions[[#This Row],[Activity]]="Instruction",Exceptions[[#This Row],[Elapsed]],0))</f>
        <v/>
      </c>
      <c r="K142" s="42" t="str">
        <f>IF(ISBLANK(Exceptions[[#This Row],[Activity]]),"",IF(_xlfn.XLOOKUP(Exceptions[[#This Row],[Activity]],Types_of_Activity[Type of Activity],Types_of_Activity[Classification])=2,Exceptions[[#This Row],[Elapsed]],0))</f>
        <v/>
      </c>
    </row>
    <row r="143" spans="2:11" x14ac:dyDescent="0.3">
      <c r="B143" t="str">
        <f>TEXT(Exceptions[[#This Row],[Date]],"MMMM")</f>
        <v>January</v>
      </c>
      <c r="C143" s="145"/>
      <c r="D143" s="135"/>
      <c r="E143" s="135"/>
      <c r="F143" s="102"/>
      <c r="G143" s="102"/>
      <c r="H143" s="102"/>
      <c r="I143" s="42" t="str">
        <f>IF(OR(ISBLANK(Exceptions[[#This Row],[Start]]),ISBLANK(Exceptions[[#This Row],[End]])),"",(Exceptions[[#This Row],[End]]-Exceptions[[#This Row],[Start]])*1440)</f>
        <v/>
      </c>
      <c r="J143" s="42" t="str">
        <f>IF(ISBLANK(Exceptions[[#This Row],[Date]]),"",IF(Exceptions[[#This Row],[Activity]]="Instruction",Exceptions[[#This Row],[Elapsed]],0))</f>
        <v/>
      </c>
      <c r="K143" s="42" t="str">
        <f>IF(ISBLANK(Exceptions[[#This Row],[Activity]]),"",IF(_xlfn.XLOOKUP(Exceptions[[#This Row],[Activity]],Types_of_Activity[Type of Activity],Types_of_Activity[Classification])=2,Exceptions[[#This Row],[Elapsed]],0))</f>
        <v/>
      </c>
    </row>
    <row r="144" spans="2:11" x14ac:dyDescent="0.3">
      <c r="B144" t="str">
        <f>TEXT(Exceptions[[#This Row],[Date]],"MMMM")</f>
        <v>January</v>
      </c>
      <c r="C144" s="145"/>
      <c r="D144" s="135"/>
      <c r="E144" s="135"/>
      <c r="F144" s="102"/>
      <c r="G144" s="102"/>
      <c r="H144" s="102"/>
      <c r="I144" s="42" t="str">
        <f>IF(OR(ISBLANK(Exceptions[[#This Row],[Start]]),ISBLANK(Exceptions[[#This Row],[End]])),"",(Exceptions[[#This Row],[End]]-Exceptions[[#This Row],[Start]])*1440)</f>
        <v/>
      </c>
      <c r="J144" s="42" t="str">
        <f>IF(ISBLANK(Exceptions[[#This Row],[Date]]),"",IF(Exceptions[[#This Row],[Activity]]="Instruction",Exceptions[[#This Row],[Elapsed]],0))</f>
        <v/>
      </c>
      <c r="K144" s="42" t="str">
        <f>IF(ISBLANK(Exceptions[[#This Row],[Activity]]),"",IF(_xlfn.XLOOKUP(Exceptions[[#This Row],[Activity]],Types_of_Activity[Type of Activity],Types_of_Activity[Classification])=2,Exceptions[[#This Row],[Elapsed]],0))</f>
        <v/>
      </c>
    </row>
    <row r="145" spans="2:11" x14ac:dyDescent="0.3">
      <c r="B145" t="str">
        <f>TEXT(Exceptions[[#This Row],[Date]],"MMMM")</f>
        <v>January</v>
      </c>
      <c r="C145" s="145"/>
      <c r="D145" s="135"/>
      <c r="E145" s="135"/>
      <c r="F145" s="102"/>
      <c r="G145" s="102"/>
      <c r="H145" s="102"/>
      <c r="I145" s="42" t="str">
        <f>IF(OR(ISBLANK(Exceptions[[#This Row],[Start]]),ISBLANK(Exceptions[[#This Row],[End]])),"",(Exceptions[[#This Row],[End]]-Exceptions[[#This Row],[Start]])*1440)</f>
        <v/>
      </c>
      <c r="J145" s="42" t="str">
        <f>IF(ISBLANK(Exceptions[[#This Row],[Date]]),"",IF(Exceptions[[#This Row],[Activity]]="Instruction",Exceptions[[#This Row],[Elapsed]],0))</f>
        <v/>
      </c>
      <c r="K145" s="42" t="str">
        <f>IF(ISBLANK(Exceptions[[#This Row],[Activity]]),"",IF(_xlfn.XLOOKUP(Exceptions[[#This Row],[Activity]],Types_of_Activity[Type of Activity],Types_of_Activity[Classification])=2,Exceptions[[#This Row],[Elapsed]],0))</f>
        <v/>
      </c>
    </row>
    <row r="146" spans="2:11" x14ac:dyDescent="0.3">
      <c r="B146" t="str">
        <f>TEXT(Exceptions[[#This Row],[Date]],"MMMM")</f>
        <v>January</v>
      </c>
      <c r="C146" s="145"/>
      <c r="D146" s="135"/>
      <c r="E146" s="135"/>
      <c r="F146" s="102"/>
      <c r="G146" s="102"/>
      <c r="H146" s="102"/>
      <c r="I146" s="42" t="str">
        <f>IF(OR(ISBLANK(Exceptions[[#This Row],[Start]]),ISBLANK(Exceptions[[#This Row],[End]])),"",(Exceptions[[#This Row],[End]]-Exceptions[[#This Row],[Start]])*1440)</f>
        <v/>
      </c>
      <c r="J146" s="42" t="str">
        <f>IF(ISBLANK(Exceptions[[#This Row],[Date]]),"",IF(Exceptions[[#This Row],[Activity]]="Instruction",Exceptions[[#This Row],[Elapsed]],0))</f>
        <v/>
      </c>
      <c r="K146" s="42" t="str">
        <f>IF(ISBLANK(Exceptions[[#This Row],[Activity]]),"",IF(_xlfn.XLOOKUP(Exceptions[[#This Row],[Activity]],Types_of_Activity[Type of Activity],Types_of_Activity[Classification])=2,Exceptions[[#This Row],[Elapsed]],0))</f>
        <v/>
      </c>
    </row>
    <row r="147" spans="2:11" x14ac:dyDescent="0.3">
      <c r="B147" t="str">
        <f>TEXT(Exceptions[[#This Row],[Date]],"MMMM")</f>
        <v>January</v>
      </c>
      <c r="C147" s="145"/>
      <c r="D147" s="135"/>
      <c r="E147" s="135"/>
      <c r="F147" s="102"/>
      <c r="G147" s="102"/>
      <c r="H147" s="102"/>
      <c r="I147" s="42" t="str">
        <f>IF(OR(ISBLANK(Exceptions[[#This Row],[Start]]),ISBLANK(Exceptions[[#This Row],[End]])),"",(Exceptions[[#This Row],[End]]-Exceptions[[#This Row],[Start]])*1440)</f>
        <v/>
      </c>
      <c r="J147" s="42" t="str">
        <f>IF(ISBLANK(Exceptions[[#This Row],[Date]]),"",IF(Exceptions[[#This Row],[Activity]]="Instruction",Exceptions[[#This Row],[Elapsed]],0))</f>
        <v/>
      </c>
      <c r="K147" s="42" t="str">
        <f>IF(ISBLANK(Exceptions[[#This Row],[Activity]]),"",IF(_xlfn.XLOOKUP(Exceptions[[#This Row],[Activity]],Types_of_Activity[Type of Activity],Types_of_Activity[Classification])=2,Exceptions[[#This Row],[Elapsed]],0))</f>
        <v/>
      </c>
    </row>
    <row r="148" spans="2:11" x14ac:dyDescent="0.3">
      <c r="B148" t="str">
        <f>TEXT(Exceptions[[#This Row],[Date]],"MMMM")</f>
        <v>January</v>
      </c>
      <c r="C148" s="145"/>
      <c r="D148" s="135"/>
      <c r="E148" s="135"/>
      <c r="F148" s="102"/>
      <c r="G148" s="102"/>
      <c r="H148" s="102"/>
      <c r="I148" s="42" t="str">
        <f>IF(OR(ISBLANK(Exceptions[[#This Row],[Start]]),ISBLANK(Exceptions[[#This Row],[End]])),"",(Exceptions[[#This Row],[End]]-Exceptions[[#This Row],[Start]])*1440)</f>
        <v/>
      </c>
      <c r="J148" s="42" t="str">
        <f>IF(ISBLANK(Exceptions[[#This Row],[Date]]),"",IF(Exceptions[[#This Row],[Activity]]="Instruction",Exceptions[[#This Row],[Elapsed]],0))</f>
        <v/>
      </c>
      <c r="K148" s="42" t="str">
        <f>IF(ISBLANK(Exceptions[[#This Row],[Activity]]),"",IF(_xlfn.XLOOKUP(Exceptions[[#This Row],[Activity]],Types_of_Activity[Type of Activity],Types_of_Activity[Classification])=2,Exceptions[[#This Row],[Elapsed]],0))</f>
        <v/>
      </c>
    </row>
    <row r="149" spans="2:11" x14ac:dyDescent="0.3">
      <c r="B149" t="str">
        <f>TEXT(Exceptions[[#This Row],[Date]],"MMMM")</f>
        <v>January</v>
      </c>
      <c r="C149" s="145"/>
      <c r="D149" s="135"/>
      <c r="E149" s="135"/>
      <c r="F149" s="102"/>
      <c r="G149" s="102"/>
      <c r="H149" s="102"/>
      <c r="I149" s="42" t="str">
        <f>IF(OR(ISBLANK(Exceptions[[#This Row],[Start]]),ISBLANK(Exceptions[[#This Row],[End]])),"",(Exceptions[[#This Row],[End]]-Exceptions[[#This Row],[Start]])*1440)</f>
        <v/>
      </c>
      <c r="J149" s="42" t="str">
        <f>IF(ISBLANK(Exceptions[[#This Row],[Date]]),"",IF(Exceptions[[#This Row],[Activity]]="Instruction",Exceptions[[#This Row],[Elapsed]],0))</f>
        <v/>
      </c>
      <c r="K149" s="42" t="str">
        <f>IF(ISBLANK(Exceptions[[#This Row],[Activity]]),"",IF(_xlfn.XLOOKUP(Exceptions[[#This Row],[Activity]],Types_of_Activity[Type of Activity],Types_of_Activity[Classification])=2,Exceptions[[#This Row],[Elapsed]],0))</f>
        <v/>
      </c>
    </row>
    <row r="150" spans="2:11" x14ac:dyDescent="0.3">
      <c r="B150" t="str">
        <f>TEXT(Exceptions[[#This Row],[Date]],"MMMM")</f>
        <v>January</v>
      </c>
      <c r="C150" s="145"/>
      <c r="D150" s="135"/>
      <c r="E150" s="135"/>
      <c r="F150" s="102"/>
      <c r="G150" s="102"/>
      <c r="H150" s="102"/>
      <c r="I150" s="42" t="str">
        <f>IF(OR(ISBLANK(Exceptions[[#This Row],[Start]]),ISBLANK(Exceptions[[#This Row],[End]])),"",(Exceptions[[#This Row],[End]]-Exceptions[[#This Row],[Start]])*1440)</f>
        <v/>
      </c>
      <c r="J150" s="42" t="str">
        <f>IF(ISBLANK(Exceptions[[#This Row],[Date]]),"",IF(Exceptions[[#This Row],[Activity]]="Instruction",Exceptions[[#This Row],[Elapsed]],0))</f>
        <v/>
      </c>
      <c r="K150" s="42" t="str">
        <f>IF(ISBLANK(Exceptions[[#This Row],[Activity]]),"",IF(_xlfn.XLOOKUP(Exceptions[[#This Row],[Activity]],Types_of_Activity[Type of Activity],Types_of_Activity[Classification])=2,Exceptions[[#This Row],[Elapsed]],0))</f>
        <v/>
      </c>
    </row>
    <row r="151" spans="2:11" x14ac:dyDescent="0.3">
      <c r="B151" t="str">
        <f>TEXT(Exceptions[[#This Row],[Date]],"MMMM")</f>
        <v>January</v>
      </c>
      <c r="C151" s="145"/>
      <c r="D151" s="135"/>
      <c r="E151" s="135"/>
      <c r="F151" s="102"/>
      <c r="G151" s="102"/>
      <c r="H151" s="102"/>
      <c r="I151" s="42" t="str">
        <f>IF(OR(ISBLANK(Exceptions[[#This Row],[Start]]),ISBLANK(Exceptions[[#This Row],[End]])),"",(Exceptions[[#This Row],[End]]-Exceptions[[#This Row],[Start]])*1440)</f>
        <v/>
      </c>
      <c r="J151" s="42" t="str">
        <f>IF(ISBLANK(Exceptions[[#This Row],[Date]]),"",IF(Exceptions[[#This Row],[Activity]]="Instruction",Exceptions[[#This Row],[Elapsed]],0))</f>
        <v/>
      </c>
      <c r="K151" s="42" t="str">
        <f>IF(ISBLANK(Exceptions[[#This Row],[Activity]]),"",IF(_xlfn.XLOOKUP(Exceptions[[#This Row],[Activity]],Types_of_Activity[Type of Activity],Types_of_Activity[Classification])=2,Exceptions[[#This Row],[Elapsed]],0))</f>
        <v/>
      </c>
    </row>
    <row r="152" spans="2:11" x14ac:dyDescent="0.3">
      <c r="B152" t="str">
        <f>TEXT(Exceptions[[#This Row],[Date]],"MMMM")</f>
        <v>January</v>
      </c>
      <c r="C152" s="145"/>
      <c r="D152" s="135"/>
      <c r="E152" s="135"/>
      <c r="F152" s="102"/>
      <c r="G152" s="102"/>
      <c r="H152" s="102"/>
      <c r="I152" s="42" t="str">
        <f>IF(OR(ISBLANK(Exceptions[[#This Row],[Start]]),ISBLANK(Exceptions[[#This Row],[End]])),"",(Exceptions[[#This Row],[End]]-Exceptions[[#This Row],[Start]])*1440)</f>
        <v/>
      </c>
      <c r="J152" s="42" t="str">
        <f>IF(ISBLANK(Exceptions[[#This Row],[Date]]),"",IF(Exceptions[[#This Row],[Activity]]="Instruction",Exceptions[[#This Row],[Elapsed]],0))</f>
        <v/>
      </c>
      <c r="K152" s="42" t="str">
        <f>IF(ISBLANK(Exceptions[[#This Row],[Activity]]),"",IF(_xlfn.XLOOKUP(Exceptions[[#This Row],[Activity]],Types_of_Activity[Type of Activity],Types_of_Activity[Classification])=2,Exceptions[[#This Row],[Elapsed]],0))</f>
        <v/>
      </c>
    </row>
    <row r="153" spans="2:11" x14ac:dyDescent="0.3">
      <c r="B153" t="str">
        <f>TEXT(Exceptions[[#This Row],[Date]],"MMMM")</f>
        <v>January</v>
      </c>
      <c r="C153" s="145"/>
      <c r="D153" s="135"/>
      <c r="E153" s="135"/>
      <c r="F153" s="102"/>
      <c r="G153" s="102"/>
      <c r="H153" s="102"/>
      <c r="I153" s="42" t="str">
        <f>IF(OR(ISBLANK(Exceptions[[#This Row],[Start]]),ISBLANK(Exceptions[[#This Row],[End]])),"",(Exceptions[[#This Row],[End]]-Exceptions[[#This Row],[Start]])*1440)</f>
        <v/>
      </c>
      <c r="J153" s="42" t="str">
        <f>IF(ISBLANK(Exceptions[[#This Row],[Date]]),"",IF(Exceptions[[#This Row],[Activity]]="Instruction",Exceptions[[#This Row],[Elapsed]],0))</f>
        <v/>
      </c>
      <c r="K153" s="42" t="str">
        <f>IF(ISBLANK(Exceptions[[#This Row],[Activity]]),"",IF(_xlfn.XLOOKUP(Exceptions[[#This Row],[Activity]],Types_of_Activity[Type of Activity],Types_of_Activity[Classification])=2,Exceptions[[#This Row],[Elapsed]],0))</f>
        <v/>
      </c>
    </row>
    <row r="154" spans="2:11" x14ac:dyDescent="0.3">
      <c r="B154" t="str">
        <f>TEXT(Exceptions[[#This Row],[Date]],"MMMM")</f>
        <v>January</v>
      </c>
      <c r="C154" s="145"/>
      <c r="D154" s="135"/>
      <c r="E154" s="135"/>
      <c r="F154" s="102"/>
      <c r="G154" s="102"/>
      <c r="H154" s="102"/>
      <c r="I154" s="42" t="str">
        <f>IF(OR(ISBLANK(Exceptions[[#This Row],[Start]]),ISBLANK(Exceptions[[#This Row],[End]])),"",(Exceptions[[#This Row],[End]]-Exceptions[[#This Row],[Start]])*1440)</f>
        <v/>
      </c>
      <c r="J154" s="42" t="str">
        <f>IF(ISBLANK(Exceptions[[#This Row],[Date]]),"",IF(Exceptions[[#This Row],[Activity]]="Instruction",Exceptions[[#This Row],[Elapsed]],0))</f>
        <v/>
      </c>
      <c r="K154" s="42" t="str">
        <f>IF(ISBLANK(Exceptions[[#This Row],[Activity]]),"",IF(_xlfn.XLOOKUP(Exceptions[[#This Row],[Activity]],Types_of_Activity[Type of Activity],Types_of_Activity[Classification])=2,Exceptions[[#This Row],[Elapsed]],0))</f>
        <v/>
      </c>
    </row>
    <row r="155" spans="2:11" x14ac:dyDescent="0.3">
      <c r="B155" t="str">
        <f>TEXT(Exceptions[[#This Row],[Date]],"MMMM")</f>
        <v>January</v>
      </c>
      <c r="C155" s="145"/>
      <c r="D155" s="135"/>
      <c r="E155" s="135"/>
      <c r="F155" s="102"/>
      <c r="G155" s="102"/>
      <c r="H155" s="102"/>
      <c r="I155" s="42" t="str">
        <f>IF(OR(ISBLANK(Exceptions[[#This Row],[Start]]),ISBLANK(Exceptions[[#This Row],[End]])),"",(Exceptions[[#This Row],[End]]-Exceptions[[#This Row],[Start]])*1440)</f>
        <v/>
      </c>
      <c r="J155" s="42" t="str">
        <f>IF(ISBLANK(Exceptions[[#This Row],[Date]]),"",IF(Exceptions[[#This Row],[Activity]]="Instruction",Exceptions[[#This Row],[Elapsed]],0))</f>
        <v/>
      </c>
      <c r="K155" s="42" t="str">
        <f>IF(ISBLANK(Exceptions[[#This Row],[Activity]]),"",IF(_xlfn.XLOOKUP(Exceptions[[#This Row],[Activity]],Types_of_Activity[Type of Activity],Types_of_Activity[Classification])=2,Exceptions[[#This Row],[Elapsed]],0))</f>
        <v/>
      </c>
    </row>
    <row r="156" spans="2:11" x14ac:dyDescent="0.3">
      <c r="B156" t="str">
        <f>TEXT(Exceptions[[#This Row],[Date]],"MMMM")</f>
        <v>January</v>
      </c>
      <c r="C156" s="145"/>
      <c r="D156" s="135"/>
      <c r="E156" s="135"/>
      <c r="F156" s="102"/>
      <c r="G156" s="102"/>
      <c r="H156" s="102"/>
      <c r="I156" s="42" t="str">
        <f>IF(OR(ISBLANK(Exceptions[[#This Row],[Start]]),ISBLANK(Exceptions[[#This Row],[End]])),"",(Exceptions[[#This Row],[End]]-Exceptions[[#This Row],[Start]])*1440)</f>
        <v/>
      </c>
      <c r="J156" s="42" t="str">
        <f>IF(ISBLANK(Exceptions[[#This Row],[Date]]),"",IF(Exceptions[[#This Row],[Activity]]="Instruction",Exceptions[[#This Row],[Elapsed]],0))</f>
        <v/>
      </c>
      <c r="K156" s="42" t="str">
        <f>IF(ISBLANK(Exceptions[[#This Row],[Activity]]),"",IF(_xlfn.XLOOKUP(Exceptions[[#This Row],[Activity]],Types_of_Activity[Type of Activity],Types_of_Activity[Classification])=2,Exceptions[[#This Row],[Elapsed]],0))</f>
        <v/>
      </c>
    </row>
    <row r="157" spans="2:11" x14ac:dyDescent="0.3">
      <c r="B157" t="str">
        <f>TEXT(Exceptions[[#This Row],[Date]],"MMMM")</f>
        <v>January</v>
      </c>
      <c r="C157" s="145"/>
      <c r="D157" s="135"/>
      <c r="E157" s="135"/>
      <c r="F157" s="102"/>
      <c r="G157" s="102"/>
      <c r="H157" s="102"/>
      <c r="I157" s="42" t="str">
        <f>IF(OR(ISBLANK(Exceptions[[#This Row],[Start]]),ISBLANK(Exceptions[[#This Row],[End]])),"",(Exceptions[[#This Row],[End]]-Exceptions[[#This Row],[Start]])*1440)</f>
        <v/>
      </c>
      <c r="J157" s="42" t="str">
        <f>IF(ISBLANK(Exceptions[[#This Row],[Date]]),"",IF(Exceptions[[#This Row],[Activity]]="Instruction",Exceptions[[#This Row],[Elapsed]],0))</f>
        <v/>
      </c>
      <c r="K157" s="42" t="str">
        <f>IF(ISBLANK(Exceptions[[#This Row],[Activity]]),"",IF(_xlfn.XLOOKUP(Exceptions[[#This Row],[Activity]],Types_of_Activity[Type of Activity],Types_of_Activity[Classification])=2,Exceptions[[#This Row],[Elapsed]],0))</f>
        <v/>
      </c>
    </row>
    <row r="158" spans="2:11" x14ac:dyDescent="0.3">
      <c r="B158" t="str">
        <f>TEXT(Exceptions[[#This Row],[Date]],"MMMM")</f>
        <v>January</v>
      </c>
      <c r="C158" s="145"/>
      <c r="D158" s="135"/>
      <c r="E158" s="135"/>
      <c r="F158" s="102"/>
      <c r="G158" s="102"/>
      <c r="H158" s="102"/>
      <c r="I158" s="42" t="str">
        <f>IF(OR(ISBLANK(Exceptions[[#This Row],[Start]]),ISBLANK(Exceptions[[#This Row],[End]])),"",(Exceptions[[#This Row],[End]]-Exceptions[[#This Row],[Start]])*1440)</f>
        <v/>
      </c>
      <c r="J158" s="42" t="str">
        <f>IF(ISBLANK(Exceptions[[#This Row],[Date]]),"",IF(Exceptions[[#This Row],[Activity]]="Instruction",Exceptions[[#This Row],[Elapsed]],0))</f>
        <v/>
      </c>
      <c r="K158" s="42" t="str">
        <f>IF(ISBLANK(Exceptions[[#This Row],[Activity]]),"",IF(_xlfn.XLOOKUP(Exceptions[[#This Row],[Activity]],Types_of_Activity[Type of Activity],Types_of_Activity[Classification])=2,Exceptions[[#This Row],[Elapsed]],0))</f>
        <v/>
      </c>
    </row>
    <row r="159" spans="2:11" x14ac:dyDescent="0.3">
      <c r="B159" t="str">
        <f>TEXT(Exceptions[[#This Row],[Date]],"MMMM")</f>
        <v>January</v>
      </c>
      <c r="C159" s="145"/>
      <c r="D159" s="135"/>
      <c r="E159" s="135"/>
      <c r="F159" s="102"/>
      <c r="G159" s="102"/>
      <c r="H159" s="102"/>
      <c r="I159" s="42" t="str">
        <f>IF(OR(ISBLANK(Exceptions[[#This Row],[Start]]),ISBLANK(Exceptions[[#This Row],[End]])),"",(Exceptions[[#This Row],[End]]-Exceptions[[#This Row],[Start]])*1440)</f>
        <v/>
      </c>
      <c r="J159" s="42" t="str">
        <f>IF(ISBLANK(Exceptions[[#This Row],[Date]]),"",IF(Exceptions[[#This Row],[Activity]]="Instruction",Exceptions[[#This Row],[Elapsed]],0))</f>
        <v/>
      </c>
      <c r="K159" s="42" t="str">
        <f>IF(ISBLANK(Exceptions[[#This Row],[Activity]]),"",IF(_xlfn.XLOOKUP(Exceptions[[#This Row],[Activity]],Types_of_Activity[Type of Activity],Types_of_Activity[Classification])=2,Exceptions[[#This Row],[Elapsed]],0))</f>
        <v/>
      </c>
    </row>
    <row r="160" spans="2:11" x14ac:dyDescent="0.3">
      <c r="B160" t="str">
        <f>TEXT(Exceptions[[#This Row],[Date]],"MMMM")</f>
        <v>January</v>
      </c>
      <c r="C160" s="145"/>
      <c r="D160" s="135"/>
      <c r="E160" s="135"/>
      <c r="F160" s="102"/>
      <c r="G160" s="102"/>
      <c r="H160" s="102"/>
      <c r="I160" s="42" t="str">
        <f>IF(OR(ISBLANK(Exceptions[[#This Row],[Start]]),ISBLANK(Exceptions[[#This Row],[End]])),"",(Exceptions[[#This Row],[End]]-Exceptions[[#This Row],[Start]])*1440)</f>
        <v/>
      </c>
      <c r="J160" s="42" t="str">
        <f>IF(ISBLANK(Exceptions[[#This Row],[Date]]),"",IF(Exceptions[[#This Row],[Activity]]="Instruction",Exceptions[[#This Row],[Elapsed]],0))</f>
        <v/>
      </c>
      <c r="K160" s="42" t="str">
        <f>IF(ISBLANK(Exceptions[[#This Row],[Activity]]),"",IF(_xlfn.XLOOKUP(Exceptions[[#This Row],[Activity]],Types_of_Activity[Type of Activity],Types_of_Activity[Classification])=2,Exceptions[[#This Row],[Elapsed]],0))</f>
        <v/>
      </c>
    </row>
    <row r="161" spans="2:11" x14ac:dyDescent="0.3">
      <c r="B161" t="str">
        <f>TEXT(Exceptions[[#This Row],[Date]],"MMMM")</f>
        <v>January</v>
      </c>
      <c r="C161" s="145"/>
      <c r="D161" s="135"/>
      <c r="E161" s="135"/>
      <c r="F161" s="102"/>
      <c r="G161" s="102"/>
      <c r="H161" s="102"/>
      <c r="I161" s="42" t="str">
        <f>IF(OR(ISBLANK(Exceptions[[#This Row],[Start]]),ISBLANK(Exceptions[[#This Row],[End]])),"",(Exceptions[[#This Row],[End]]-Exceptions[[#This Row],[Start]])*1440)</f>
        <v/>
      </c>
      <c r="J161" s="42" t="str">
        <f>IF(ISBLANK(Exceptions[[#This Row],[Date]]),"",IF(Exceptions[[#This Row],[Activity]]="Instruction",Exceptions[[#This Row],[Elapsed]],0))</f>
        <v/>
      </c>
      <c r="K161" s="42" t="str">
        <f>IF(ISBLANK(Exceptions[[#This Row],[Activity]]),"",IF(_xlfn.XLOOKUP(Exceptions[[#This Row],[Activity]],Types_of_Activity[Type of Activity],Types_of_Activity[Classification])=2,Exceptions[[#This Row],[Elapsed]],0))</f>
        <v/>
      </c>
    </row>
    <row r="162" spans="2:11" x14ac:dyDescent="0.3">
      <c r="B162" t="str">
        <f>TEXT(Exceptions[[#This Row],[Date]],"MMMM")</f>
        <v>January</v>
      </c>
      <c r="C162" s="145"/>
      <c r="D162" s="135"/>
      <c r="E162" s="135"/>
      <c r="F162" s="102"/>
      <c r="G162" s="102"/>
      <c r="H162" s="102"/>
      <c r="I162" s="42" t="str">
        <f>IF(OR(ISBLANK(Exceptions[[#This Row],[Start]]),ISBLANK(Exceptions[[#This Row],[End]])),"",(Exceptions[[#This Row],[End]]-Exceptions[[#This Row],[Start]])*1440)</f>
        <v/>
      </c>
      <c r="J162" s="42" t="str">
        <f>IF(ISBLANK(Exceptions[[#This Row],[Date]]),"",IF(Exceptions[[#This Row],[Activity]]="Instruction",Exceptions[[#This Row],[Elapsed]],0))</f>
        <v/>
      </c>
      <c r="K162" s="42" t="str">
        <f>IF(ISBLANK(Exceptions[[#This Row],[Activity]]),"",IF(_xlfn.XLOOKUP(Exceptions[[#This Row],[Activity]],Types_of_Activity[Type of Activity],Types_of_Activity[Classification])=2,Exceptions[[#This Row],[Elapsed]],0))</f>
        <v/>
      </c>
    </row>
    <row r="163" spans="2:11" x14ac:dyDescent="0.3">
      <c r="B163" t="str">
        <f>TEXT(Exceptions[[#This Row],[Date]],"MMMM")</f>
        <v>January</v>
      </c>
      <c r="C163" s="145"/>
      <c r="D163" s="135"/>
      <c r="E163" s="135"/>
      <c r="F163" s="102"/>
      <c r="G163" s="102"/>
      <c r="H163" s="102"/>
      <c r="I163" s="42" t="str">
        <f>IF(OR(ISBLANK(Exceptions[[#This Row],[Start]]),ISBLANK(Exceptions[[#This Row],[End]])),"",(Exceptions[[#This Row],[End]]-Exceptions[[#This Row],[Start]])*1440)</f>
        <v/>
      </c>
      <c r="J163" s="42" t="str">
        <f>IF(ISBLANK(Exceptions[[#This Row],[Date]]),"",IF(Exceptions[[#This Row],[Activity]]="Instruction",Exceptions[[#This Row],[Elapsed]],0))</f>
        <v/>
      </c>
      <c r="K163" s="42" t="str">
        <f>IF(ISBLANK(Exceptions[[#This Row],[Activity]]),"",IF(_xlfn.XLOOKUP(Exceptions[[#This Row],[Activity]],Types_of_Activity[Type of Activity],Types_of_Activity[Classification])=2,Exceptions[[#This Row],[Elapsed]],0))</f>
        <v/>
      </c>
    </row>
    <row r="164" spans="2:11" x14ac:dyDescent="0.3">
      <c r="B164" t="str">
        <f>TEXT(Exceptions[[#This Row],[Date]],"MMMM")</f>
        <v>January</v>
      </c>
      <c r="C164" s="145"/>
      <c r="D164" s="135"/>
      <c r="E164" s="135"/>
      <c r="F164" s="102"/>
      <c r="G164" s="102"/>
      <c r="H164" s="102"/>
      <c r="I164" s="42" t="str">
        <f>IF(OR(ISBLANK(Exceptions[[#This Row],[Start]]),ISBLANK(Exceptions[[#This Row],[End]])),"",(Exceptions[[#This Row],[End]]-Exceptions[[#This Row],[Start]])*1440)</f>
        <v/>
      </c>
      <c r="J164" s="42" t="str">
        <f>IF(ISBLANK(Exceptions[[#This Row],[Date]]),"",IF(Exceptions[[#This Row],[Activity]]="Instruction",Exceptions[[#This Row],[Elapsed]],0))</f>
        <v/>
      </c>
      <c r="K164" s="42" t="str">
        <f>IF(ISBLANK(Exceptions[[#This Row],[Activity]]),"",IF(_xlfn.XLOOKUP(Exceptions[[#This Row],[Activity]],Types_of_Activity[Type of Activity],Types_of_Activity[Classification])=2,Exceptions[[#This Row],[Elapsed]],0))</f>
        <v/>
      </c>
    </row>
    <row r="165" spans="2:11" x14ac:dyDescent="0.3">
      <c r="B165" t="str">
        <f>TEXT(Exceptions[[#This Row],[Date]],"MMMM")</f>
        <v>January</v>
      </c>
      <c r="C165" s="145"/>
      <c r="D165" s="135"/>
      <c r="E165" s="135"/>
      <c r="F165" s="102"/>
      <c r="G165" s="102"/>
      <c r="H165" s="102"/>
      <c r="I165" s="42" t="str">
        <f>IF(OR(ISBLANK(Exceptions[[#This Row],[Start]]),ISBLANK(Exceptions[[#This Row],[End]])),"",(Exceptions[[#This Row],[End]]-Exceptions[[#This Row],[Start]])*1440)</f>
        <v/>
      </c>
      <c r="J165" s="42" t="str">
        <f>IF(ISBLANK(Exceptions[[#This Row],[Date]]),"",IF(Exceptions[[#This Row],[Activity]]="Instruction",Exceptions[[#This Row],[Elapsed]],0))</f>
        <v/>
      </c>
      <c r="K165" s="42" t="str">
        <f>IF(ISBLANK(Exceptions[[#This Row],[Activity]]),"",IF(_xlfn.XLOOKUP(Exceptions[[#This Row],[Activity]],Types_of_Activity[Type of Activity],Types_of_Activity[Classification])=2,Exceptions[[#This Row],[Elapsed]],0))</f>
        <v/>
      </c>
    </row>
    <row r="166" spans="2:11" x14ac:dyDescent="0.3">
      <c r="B166" t="str">
        <f>TEXT(Exceptions[[#This Row],[Date]],"MMMM")</f>
        <v>January</v>
      </c>
      <c r="C166" s="145"/>
      <c r="D166" s="135"/>
      <c r="E166" s="135"/>
      <c r="F166" s="102"/>
      <c r="G166" s="102"/>
      <c r="H166" s="102"/>
      <c r="I166" s="42" t="str">
        <f>IF(OR(ISBLANK(Exceptions[[#This Row],[Start]]),ISBLANK(Exceptions[[#This Row],[End]])),"",(Exceptions[[#This Row],[End]]-Exceptions[[#This Row],[Start]])*1440)</f>
        <v/>
      </c>
      <c r="J166" s="42" t="str">
        <f>IF(ISBLANK(Exceptions[[#This Row],[Date]]),"",IF(Exceptions[[#This Row],[Activity]]="Instruction",Exceptions[[#This Row],[Elapsed]],0))</f>
        <v/>
      </c>
      <c r="K166" s="42" t="str">
        <f>IF(ISBLANK(Exceptions[[#This Row],[Activity]]),"",IF(_xlfn.XLOOKUP(Exceptions[[#This Row],[Activity]],Types_of_Activity[Type of Activity],Types_of_Activity[Classification])=2,Exceptions[[#This Row],[Elapsed]],0))</f>
        <v/>
      </c>
    </row>
    <row r="167" spans="2:11" x14ac:dyDescent="0.3">
      <c r="B167" t="str">
        <f>TEXT(Exceptions[[#This Row],[Date]],"MMMM")</f>
        <v>January</v>
      </c>
      <c r="C167" s="145"/>
      <c r="D167" s="135"/>
      <c r="E167" s="135"/>
      <c r="F167" s="102"/>
      <c r="G167" s="102"/>
      <c r="H167" s="102"/>
      <c r="I167" s="42" t="str">
        <f>IF(OR(ISBLANK(Exceptions[[#This Row],[Start]]),ISBLANK(Exceptions[[#This Row],[End]])),"",(Exceptions[[#This Row],[End]]-Exceptions[[#This Row],[Start]])*1440)</f>
        <v/>
      </c>
      <c r="J167" s="42" t="str">
        <f>IF(ISBLANK(Exceptions[[#This Row],[Date]]),"",IF(Exceptions[[#This Row],[Activity]]="Instruction",Exceptions[[#This Row],[Elapsed]],0))</f>
        <v/>
      </c>
      <c r="K167" s="42" t="str">
        <f>IF(ISBLANK(Exceptions[[#This Row],[Activity]]),"",IF(_xlfn.XLOOKUP(Exceptions[[#This Row],[Activity]],Types_of_Activity[Type of Activity],Types_of_Activity[Classification])=2,Exceptions[[#This Row],[Elapsed]],0))</f>
        <v/>
      </c>
    </row>
    <row r="168" spans="2:11" x14ac:dyDescent="0.3">
      <c r="B168" t="str">
        <f>TEXT(Exceptions[[#This Row],[Date]],"MMMM")</f>
        <v>January</v>
      </c>
      <c r="C168" s="145"/>
      <c r="D168" s="135"/>
      <c r="E168" s="135"/>
      <c r="F168" s="102"/>
      <c r="G168" s="102"/>
      <c r="H168" s="102"/>
      <c r="I168" s="42" t="str">
        <f>IF(OR(ISBLANK(Exceptions[[#This Row],[Start]]),ISBLANK(Exceptions[[#This Row],[End]])),"",(Exceptions[[#This Row],[End]]-Exceptions[[#This Row],[Start]])*1440)</f>
        <v/>
      </c>
      <c r="J168" s="42" t="str">
        <f>IF(ISBLANK(Exceptions[[#This Row],[Date]]),"",IF(Exceptions[[#This Row],[Activity]]="Instruction",Exceptions[[#This Row],[Elapsed]],0))</f>
        <v/>
      </c>
      <c r="K168" s="42" t="str">
        <f>IF(ISBLANK(Exceptions[[#This Row],[Activity]]),"",IF(_xlfn.XLOOKUP(Exceptions[[#This Row],[Activity]],Types_of_Activity[Type of Activity],Types_of_Activity[Classification])=2,Exceptions[[#This Row],[Elapsed]],0))</f>
        <v/>
      </c>
    </row>
    <row r="169" spans="2:11" x14ac:dyDescent="0.3">
      <c r="B169" t="str">
        <f>TEXT(Exceptions[[#This Row],[Date]],"MMMM")</f>
        <v>January</v>
      </c>
      <c r="C169" s="145"/>
      <c r="D169" s="135"/>
      <c r="E169" s="135"/>
      <c r="F169" s="102"/>
      <c r="G169" s="102"/>
      <c r="H169" s="102"/>
      <c r="I169" s="42" t="str">
        <f>IF(OR(ISBLANK(Exceptions[[#This Row],[Start]]),ISBLANK(Exceptions[[#This Row],[End]])),"",(Exceptions[[#This Row],[End]]-Exceptions[[#This Row],[Start]])*1440)</f>
        <v/>
      </c>
      <c r="J169" s="42" t="str">
        <f>IF(ISBLANK(Exceptions[[#This Row],[Date]]),"",IF(Exceptions[[#This Row],[Activity]]="Instruction",Exceptions[[#This Row],[Elapsed]],0))</f>
        <v/>
      </c>
      <c r="K169" s="42" t="str">
        <f>IF(ISBLANK(Exceptions[[#This Row],[Activity]]),"",IF(_xlfn.XLOOKUP(Exceptions[[#This Row],[Activity]],Types_of_Activity[Type of Activity],Types_of_Activity[Classification])=2,Exceptions[[#This Row],[Elapsed]],0))</f>
        <v/>
      </c>
    </row>
    <row r="170" spans="2:11" x14ac:dyDescent="0.3">
      <c r="B170" t="str">
        <f>TEXT(Exceptions[[#This Row],[Date]],"MMMM")</f>
        <v>January</v>
      </c>
      <c r="C170" s="145"/>
      <c r="D170" s="135"/>
      <c r="E170" s="135"/>
      <c r="F170" s="102"/>
      <c r="G170" s="102"/>
      <c r="H170" s="102"/>
      <c r="I170" s="42" t="str">
        <f>IF(OR(ISBLANK(Exceptions[[#This Row],[Start]]),ISBLANK(Exceptions[[#This Row],[End]])),"",(Exceptions[[#This Row],[End]]-Exceptions[[#This Row],[Start]])*1440)</f>
        <v/>
      </c>
      <c r="J170" s="42" t="str">
        <f>IF(ISBLANK(Exceptions[[#This Row],[Date]]),"",IF(Exceptions[[#This Row],[Activity]]="Instruction",Exceptions[[#This Row],[Elapsed]],0))</f>
        <v/>
      </c>
      <c r="K170" s="42" t="str">
        <f>IF(ISBLANK(Exceptions[[#This Row],[Activity]]),"",IF(_xlfn.XLOOKUP(Exceptions[[#This Row],[Activity]],Types_of_Activity[Type of Activity],Types_of_Activity[Classification])=2,Exceptions[[#This Row],[Elapsed]],0))</f>
        <v/>
      </c>
    </row>
    <row r="171" spans="2:11" x14ac:dyDescent="0.3">
      <c r="B171" t="str">
        <f>TEXT(Exceptions[[#This Row],[Date]],"MMMM")</f>
        <v>January</v>
      </c>
      <c r="C171" s="145"/>
      <c r="D171" s="135"/>
      <c r="E171" s="135"/>
      <c r="F171" s="102"/>
      <c r="G171" s="102"/>
      <c r="H171" s="102"/>
      <c r="I171" s="42" t="str">
        <f>IF(OR(ISBLANK(Exceptions[[#This Row],[Start]]),ISBLANK(Exceptions[[#This Row],[End]])),"",(Exceptions[[#This Row],[End]]-Exceptions[[#This Row],[Start]])*1440)</f>
        <v/>
      </c>
      <c r="J171" s="42" t="str">
        <f>IF(ISBLANK(Exceptions[[#This Row],[Date]]),"",IF(Exceptions[[#This Row],[Activity]]="Instruction",Exceptions[[#This Row],[Elapsed]],0))</f>
        <v/>
      </c>
      <c r="K171" s="42" t="str">
        <f>IF(ISBLANK(Exceptions[[#This Row],[Activity]]),"",IF(_xlfn.XLOOKUP(Exceptions[[#This Row],[Activity]],Types_of_Activity[Type of Activity],Types_of_Activity[Classification])=2,Exceptions[[#This Row],[Elapsed]],0))</f>
        <v/>
      </c>
    </row>
    <row r="172" spans="2:11" x14ac:dyDescent="0.3">
      <c r="B172" t="str">
        <f>TEXT(Exceptions[[#This Row],[Date]],"MMMM")</f>
        <v>January</v>
      </c>
      <c r="C172" s="145"/>
      <c r="D172" s="135"/>
      <c r="E172" s="135"/>
      <c r="F172" s="102"/>
      <c r="G172" s="102"/>
      <c r="H172" s="102"/>
      <c r="I172" s="42" t="str">
        <f>IF(OR(ISBLANK(Exceptions[[#This Row],[Start]]),ISBLANK(Exceptions[[#This Row],[End]])),"",(Exceptions[[#This Row],[End]]-Exceptions[[#This Row],[Start]])*1440)</f>
        <v/>
      </c>
      <c r="J172" s="42" t="str">
        <f>IF(ISBLANK(Exceptions[[#This Row],[Date]]),"",IF(Exceptions[[#This Row],[Activity]]="Instruction",Exceptions[[#This Row],[Elapsed]],0))</f>
        <v/>
      </c>
      <c r="K172" s="42" t="str">
        <f>IF(ISBLANK(Exceptions[[#This Row],[Activity]]),"",IF(_xlfn.XLOOKUP(Exceptions[[#This Row],[Activity]],Types_of_Activity[Type of Activity],Types_of_Activity[Classification])=2,Exceptions[[#This Row],[Elapsed]],0))</f>
        <v/>
      </c>
    </row>
    <row r="173" spans="2:11" x14ac:dyDescent="0.3">
      <c r="B173" t="str">
        <f>TEXT(Exceptions[[#This Row],[Date]],"MMMM")</f>
        <v>January</v>
      </c>
      <c r="C173" s="145"/>
      <c r="D173" s="135"/>
      <c r="E173" s="135"/>
      <c r="F173" s="102"/>
      <c r="G173" s="102"/>
      <c r="H173" s="102"/>
      <c r="I173" s="42" t="str">
        <f>IF(OR(ISBLANK(Exceptions[[#This Row],[Start]]),ISBLANK(Exceptions[[#This Row],[End]])),"",(Exceptions[[#This Row],[End]]-Exceptions[[#This Row],[Start]])*1440)</f>
        <v/>
      </c>
      <c r="J173" s="42" t="str">
        <f>IF(ISBLANK(Exceptions[[#This Row],[Date]]),"",IF(Exceptions[[#This Row],[Activity]]="Instruction",Exceptions[[#This Row],[Elapsed]],0))</f>
        <v/>
      </c>
      <c r="K173" s="42" t="str">
        <f>IF(ISBLANK(Exceptions[[#This Row],[Activity]]),"",IF(_xlfn.XLOOKUP(Exceptions[[#This Row],[Activity]],Types_of_Activity[Type of Activity],Types_of_Activity[Classification])=2,Exceptions[[#This Row],[Elapsed]],0))</f>
        <v/>
      </c>
    </row>
    <row r="174" spans="2:11" x14ac:dyDescent="0.3">
      <c r="B174" t="str">
        <f>TEXT(Exceptions[[#This Row],[Date]],"MMMM")</f>
        <v>January</v>
      </c>
      <c r="C174" s="145"/>
      <c r="D174" s="135"/>
      <c r="E174" s="135"/>
      <c r="F174" s="102"/>
      <c r="G174" s="102"/>
      <c r="H174" s="102"/>
      <c r="I174" s="42" t="str">
        <f>IF(OR(ISBLANK(Exceptions[[#This Row],[Start]]),ISBLANK(Exceptions[[#This Row],[End]])),"",(Exceptions[[#This Row],[End]]-Exceptions[[#This Row],[Start]])*1440)</f>
        <v/>
      </c>
      <c r="J174" s="42" t="str">
        <f>IF(ISBLANK(Exceptions[[#This Row],[Date]]),"",IF(Exceptions[[#This Row],[Activity]]="Instruction",Exceptions[[#This Row],[Elapsed]],0))</f>
        <v/>
      </c>
      <c r="K174" s="42" t="str">
        <f>IF(ISBLANK(Exceptions[[#This Row],[Activity]]),"",IF(_xlfn.XLOOKUP(Exceptions[[#This Row],[Activity]],Types_of_Activity[Type of Activity],Types_of_Activity[Classification])=2,Exceptions[[#This Row],[Elapsed]],0))</f>
        <v/>
      </c>
    </row>
    <row r="175" spans="2:11" x14ac:dyDescent="0.3">
      <c r="B175" t="str">
        <f>TEXT(Exceptions[[#This Row],[Date]],"MMMM")</f>
        <v>January</v>
      </c>
      <c r="C175" s="145"/>
      <c r="D175" s="135"/>
      <c r="E175" s="135"/>
      <c r="F175" s="102"/>
      <c r="G175" s="102"/>
      <c r="H175" s="102"/>
      <c r="I175" s="42" t="str">
        <f>IF(OR(ISBLANK(Exceptions[[#This Row],[Start]]),ISBLANK(Exceptions[[#This Row],[End]])),"",(Exceptions[[#This Row],[End]]-Exceptions[[#This Row],[Start]])*1440)</f>
        <v/>
      </c>
      <c r="J175" s="42" t="str">
        <f>IF(ISBLANK(Exceptions[[#This Row],[Date]]),"",IF(Exceptions[[#This Row],[Activity]]="Instruction",Exceptions[[#This Row],[Elapsed]],0))</f>
        <v/>
      </c>
      <c r="K175" s="42" t="str">
        <f>IF(ISBLANK(Exceptions[[#This Row],[Activity]]),"",IF(_xlfn.XLOOKUP(Exceptions[[#This Row],[Activity]],Types_of_Activity[Type of Activity],Types_of_Activity[Classification])=2,Exceptions[[#This Row],[Elapsed]],0))</f>
        <v/>
      </c>
    </row>
    <row r="176" spans="2:11" x14ac:dyDescent="0.3">
      <c r="B176" t="str">
        <f>TEXT(Exceptions[[#This Row],[Date]],"MMMM")</f>
        <v>January</v>
      </c>
      <c r="C176" s="145"/>
      <c r="D176" s="135"/>
      <c r="E176" s="135"/>
      <c r="F176" s="102"/>
      <c r="G176" s="102"/>
      <c r="H176" s="102"/>
      <c r="I176" s="42" t="str">
        <f>IF(OR(ISBLANK(Exceptions[[#This Row],[Start]]),ISBLANK(Exceptions[[#This Row],[End]])),"",(Exceptions[[#This Row],[End]]-Exceptions[[#This Row],[Start]])*1440)</f>
        <v/>
      </c>
      <c r="J176" s="42" t="str">
        <f>IF(ISBLANK(Exceptions[[#This Row],[Date]]),"",IF(Exceptions[[#This Row],[Activity]]="Instruction",Exceptions[[#This Row],[Elapsed]],0))</f>
        <v/>
      </c>
      <c r="K176" s="42" t="str">
        <f>IF(ISBLANK(Exceptions[[#This Row],[Activity]]),"",IF(_xlfn.XLOOKUP(Exceptions[[#This Row],[Activity]],Types_of_Activity[Type of Activity],Types_of_Activity[Classification])=2,Exceptions[[#This Row],[Elapsed]],0))</f>
        <v/>
      </c>
    </row>
    <row r="177" spans="2:11" x14ac:dyDescent="0.3">
      <c r="B177" t="str">
        <f>TEXT(Exceptions[[#This Row],[Date]],"MMMM")</f>
        <v>January</v>
      </c>
      <c r="C177" s="145"/>
      <c r="D177" s="135"/>
      <c r="E177" s="135"/>
      <c r="F177" s="102"/>
      <c r="G177" s="102"/>
      <c r="H177" s="102"/>
      <c r="I177" s="42" t="str">
        <f>IF(OR(ISBLANK(Exceptions[[#This Row],[Start]]),ISBLANK(Exceptions[[#This Row],[End]])),"",(Exceptions[[#This Row],[End]]-Exceptions[[#This Row],[Start]])*1440)</f>
        <v/>
      </c>
      <c r="J177" s="42" t="str">
        <f>IF(ISBLANK(Exceptions[[#This Row],[Date]]),"",IF(Exceptions[[#This Row],[Activity]]="Instruction",Exceptions[[#This Row],[Elapsed]],0))</f>
        <v/>
      </c>
      <c r="K177" s="42" t="str">
        <f>IF(ISBLANK(Exceptions[[#This Row],[Activity]]),"",IF(_xlfn.XLOOKUP(Exceptions[[#This Row],[Activity]],Types_of_Activity[Type of Activity],Types_of_Activity[Classification])=2,Exceptions[[#This Row],[Elapsed]],0))</f>
        <v/>
      </c>
    </row>
    <row r="178" spans="2:11" x14ac:dyDescent="0.3">
      <c r="B178" t="str">
        <f>TEXT(Exceptions[[#This Row],[Date]],"MMMM")</f>
        <v>January</v>
      </c>
      <c r="C178" s="145"/>
      <c r="D178" s="135"/>
      <c r="E178" s="135"/>
      <c r="F178" s="102"/>
      <c r="G178" s="102"/>
      <c r="H178" s="102"/>
      <c r="I178" s="42" t="str">
        <f>IF(OR(ISBLANK(Exceptions[[#This Row],[Start]]),ISBLANK(Exceptions[[#This Row],[End]])),"",(Exceptions[[#This Row],[End]]-Exceptions[[#This Row],[Start]])*1440)</f>
        <v/>
      </c>
      <c r="J178" s="42" t="str">
        <f>IF(ISBLANK(Exceptions[[#This Row],[Date]]),"",IF(Exceptions[[#This Row],[Activity]]="Instruction",Exceptions[[#This Row],[Elapsed]],0))</f>
        <v/>
      </c>
      <c r="K178" s="42" t="str">
        <f>IF(ISBLANK(Exceptions[[#This Row],[Activity]]),"",IF(_xlfn.XLOOKUP(Exceptions[[#This Row],[Activity]],Types_of_Activity[Type of Activity],Types_of_Activity[Classification])=2,Exceptions[[#This Row],[Elapsed]],0))</f>
        <v/>
      </c>
    </row>
    <row r="179" spans="2:11" x14ac:dyDescent="0.3">
      <c r="B179" t="str">
        <f>TEXT(Exceptions[[#This Row],[Date]],"MMMM")</f>
        <v>January</v>
      </c>
      <c r="C179" s="145"/>
      <c r="D179" s="135"/>
      <c r="E179" s="135"/>
      <c r="F179" s="102"/>
      <c r="G179" s="102"/>
      <c r="H179" s="102"/>
      <c r="I179" s="42" t="str">
        <f>IF(OR(ISBLANK(Exceptions[[#This Row],[Start]]),ISBLANK(Exceptions[[#This Row],[End]])),"",(Exceptions[[#This Row],[End]]-Exceptions[[#This Row],[Start]])*1440)</f>
        <v/>
      </c>
      <c r="J179" s="42" t="str">
        <f>IF(ISBLANK(Exceptions[[#This Row],[Date]]),"",IF(Exceptions[[#This Row],[Activity]]="Instruction",Exceptions[[#This Row],[Elapsed]],0))</f>
        <v/>
      </c>
      <c r="K179" s="42" t="str">
        <f>IF(ISBLANK(Exceptions[[#This Row],[Activity]]),"",IF(_xlfn.XLOOKUP(Exceptions[[#This Row],[Activity]],Types_of_Activity[Type of Activity],Types_of_Activity[Classification])=2,Exceptions[[#This Row],[Elapsed]],0))</f>
        <v/>
      </c>
    </row>
    <row r="180" spans="2:11" x14ac:dyDescent="0.3">
      <c r="B180" t="str">
        <f>TEXT(Exceptions[[#This Row],[Date]],"MMMM")</f>
        <v>January</v>
      </c>
      <c r="C180" s="145"/>
      <c r="D180" s="135"/>
      <c r="E180" s="135"/>
      <c r="F180" s="102"/>
      <c r="G180" s="102"/>
      <c r="H180" s="102"/>
      <c r="I180" s="42" t="str">
        <f>IF(OR(ISBLANK(Exceptions[[#This Row],[Start]]),ISBLANK(Exceptions[[#This Row],[End]])),"",(Exceptions[[#This Row],[End]]-Exceptions[[#This Row],[Start]])*1440)</f>
        <v/>
      </c>
      <c r="J180" s="42" t="str">
        <f>IF(ISBLANK(Exceptions[[#This Row],[Date]]),"",IF(Exceptions[[#This Row],[Activity]]="Instruction",Exceptions[[#This Row],[Elapsed]],0))</f>
        <v/>
      </c>
      <c r="K180" s="42" t="str">
        <f>IF(ISBLANK(Exceptions[[#This Row],[Activity]]),"",IF(_xlfn.XLOOKUP(Exceptions[[#This Row],[Activity]],Types_of_Activity[Type of Activity],Types_of_Activity[Classification])=2,Exceptions[[#This Row],[Elapsed]],0))</f>
        <v/>
      </c>
    </row>
    <row r="181" spans="2:11" x14ac:dyDescent="0.3">
      <c r="B181" t="str">
        <f>TEXT(Exceptions[[#This Row],[Date]],"MMMM")</f>
        <v>January</v>
      </c>
      <c r="C181" s="145"/>
      <c r="D181" s="135"/>
      <c r="E181" s="135"/>
      <c r="F181" s="102"/>
      <c r="G181" s="102"/>
      <c r="H181" s="102"/>
      <c r="I181" s="42" t="str">
        <f>IF(OR(ISBLANK(Exceptions[[#This Row],[Start]]),ISBLANK(Exceptions[[#This Row],[End]])),"",(Exceptions[[#This Row],[End]]-Exceptions[[#This Row],[Start]])*1440)</f>
        <v/>
      </c>
      <c r="J181" s="42" t="str">
        <f>IF(ISBLANK(Exceptions[[#This Row],[Date]]),"",IF(Exceptions[[#This Row],[Activity]]="Instruction",Exceptions[[#This Row],[Elapsed]],0))</f>
        <v/>
      </c>
      <c r="K181" s="42" t="str">
        <f>IF(ISBLANK(Exceptions[[#This Row],[Activity]]),"",IF(_xlfn.XLOOKUP(Exceptions[[#This Row],[Activity]],Types_of_Activity[Type of Activity],Types_of_Activity[Classification])=2,Exceptions[[#This Row],[Elapsed]],0))</f>
        <v/>
      </c>
    </row>
    <row r="182" spans="2:11" x14ac:dyDescent="0.3">
      <c r="B182" t="str">
        <f>TEXT(Exceptions[[#This Row],[Date]],"MMMM")</f>
        <v>January</v>
      </c>
      <c r="C182" s="145"/>
      <c r="D182" s="135"/>
      <c r="E182" s="135"/>
      <c r="F182" s="102"/>
      <c r="G182" s="102"/>
      <c r="H182" s="102"/>
      <c r="I182" s="42" t="str">
        <f>IF(OR(ISBLANK(Exceptions[[#This Row],[Start]]),ISBLANK(Exceptions[[#This Row],[End]])),"",(Exceptions[[#This Row],[End]]-Exceptions[[#This Row],[Start]])*1440)</f>
        <v/>
      </c>
      <c r="J182" s="42" t="str">
        <f>IF(ISBLANK(Exceptions[[#This Row],[Date]]),"",IF(Exceptions[[#This Row],[Activity]]="Instruction",Exceptions[[#This Row],[Elapsed]],0))</f>
        <v/>
      </c>
      <c r="K182" s="42" t="str">
        <f>IF(ISBLANK(Exceptions[[#This Row],[Activity]]),"",IF(_xlfn.XLOOKUP(Exceptions[[#This Row],[Activity]],Types_of_Activity[Type of Activity],Types_of_Activity[Classification])=2,Exceptions[[#This Row],[Elapsed]],0))</f>
        <v/>
      </c>
    </row>
    <row r="183" spans="2:11" x14ac:dyDescent="0.3">
      <c r="B183" t="str">
        <f>TEXT(Exceptions[[#This Row],[Date]],"MMMM")</f>
        <v>January</v>
      </c>
      <c r="C183" s="145"/>
      <c r="D183" s="135"/>
      <c r="E183" s="135"/>
      <c r="F183" s="102"/>
      <c r="G183" s="102"/>
      <c r="H183" s="102"/>
      <c r="I183" s="42" t="str">
        <f>IF(OR(ISBLANK(Exceptions[[#This Row],[Start]]),ISBLANK(Exceptions[[#This Row],[End]])),"",(Exceptions[[#This Row],[End]]-Exceptions[[#This Row],[Start]])*1440)</f>
        <v/>
      </c>
      <c r="J183" s="42" t="str">
        <f>IF(ISBLANK(Exceptions[[#This Row],[Date]]),"",IF(Exceptions[[#This Row],[Activity]]="Instruction",Exceptions[[#This Row],[Elapsed]],0))</f>
        <v/>
      </c>
      <c r="K183" s="42" t="str">
        <f>IF(ISBLANK(Exceptions[[#This Row],[Activity]]),"",IF(_xlfn.XLOOKUP(Exceptions[[#This Row],[Activity]],Types_of_Activity[Type of Activity],Types_of_Activity[Classification])=2,Exceptions[[#This Row],[Elapsed]],0))</f>
        <v/>
      </c>
    </row>
    <row r="184" spans="2:11" x14ac:dyDescent="0.3">
      <c r="B184" t="str">
        <f>TEXT(Exceptions[[#This Row],[Date]],"MMMM")</f>
        <v>January</v>
      </c>
      <c r="C184" s="145"/>
      <c r="D184" s="135"/>
      <c r="E184" s="135"/>
      <c r="F184" s="102"/>
      <c r="G184" s="102"/>
      <c r="H184" s="102"/>
      <c r="I184" s="42" t="str">
        <f>IF(OR(ISBLANK(Exceptions[[#This Row],[Start]]),ISBLANK(Exceptions[[#This Row],[End]])),"",(Exceptions[[#This Row],[End]]-Exceptions[[#This Row],[Start]])*1440)</f>
        <v/>
      </c>
      <c r="J184" s="42" t="str">
        <f>IF(ISBLANK(Exceptions[[#This Row],[Date]]),"",IF(Exceptions[[#This Row],[Activity]]="Instruction",Exceptions[[#This Row],[Elapsed]],0))</f>
        <v/>
      </c>
      <c r="K184" s="42" t="str">
        <f>IF(ISBLANK(Exceptions[[#This Row],[Activity]]),"",IF(_xlfn.XLOOKUP(Exceptions[[#This Row],[Activity]],Types_of_Activity[Type of Activity],Types_of_Activity[Classification])=2,Exceptions[[#This Row],[Elapsed]],0))</f>
        <v/>
      </c>
    </row>
    <row r="185" spans="2:11" x14ac:dyDescent="0.3">
      <c r="B185" t="str">
        <f>TEXT(Exceptions[[#This Row],[Date]],"MMMM")</f>
        <v>January</v>
      </c>
      <c r="C185" s="145"/>
      <c r="D185" s="135"/>
      <c r="E185" s="135"/>
      <c r="F185" s="102"/>
      <c r="G185" s="102"/>
      <c r="H185" s="102"/>
      <c r="I185" s="42" t="str">
        <f>IF(OR(ISBLANK(Exceptions[[#This Row],[Start]]),ISBLANK(Exceptions[[#This Row],[End]])),"",(Exceptions[[#This Row],[End]]-Exceptions[[#This Row],[Start]])*1440)</f>
        <v/>
      </c>
      <c r="J185" s="42" t="str">
        <f>IF(ISBLANK(Exceptions[[#This Row],[Date]]),"",IF(Exceptions[[#This Row],[Activity]]="Instruction",Exceptions[[#This Row],[Elapsed]],0))</f>
        <v/>
      </c>
      <c r="K185" s="42" t="str">
        <f>IF(ISBLANK(Exceptions[[#This Row],[Activity]]),"",IF(_xlfn.XLOOKUP(Exceptions[[#This Row],[Activity]],Types_of_Activity[Type of Activity],Types_of_Activity[Classification])=2,Exceptions[[#This Row],[Elapsed]],0))</f>
        <v/>
      </c>
    </row>
    <row r="186" spans="2:11" x14ac:dyDescent="0.3">
      <c r="B186" t="str">
        <f>TEXT(Exceptions[[#This Row],[Date]],"MMMM")</f>
        <v>January</v>
      </c>
      <c r="C186" s="145"/>
      <c r="D186" s="135"/>
      <c r="E186" s="135"/>
      <c r="F186" s="102"/>
      <c r="G186" s="102"/>
      <c r="H186" s="102"/>
      <c r="I186" s="42" t="str">
        <f>IF(OR(ISBLANK(Exceptions[[#This Row],[Start]]),ISBLANK(Exceptions[[#This Row],[End]])),"",(Exceptions[[#This Row],[End]]-Exceptions[[#This Row],[Start]])*1440)</f>
        <v/>
      </c>
      <c r="J186" s="42" t="str">
        <f>IF(ISBLANK(Exceptions[[#This Row],[Date]]),"",IF(Exceptions[[#This Row],[Activity]]="Instruction",Exceptions[[#This Row],[Elapsed]],0))</f>
        <v/>
      </c>
      <c r="K186" s="42" t="str">
        <f>IF(ISBLANK(Exceptions[[#This Row],[Activity]]),"",IF(_xlfn.XLOOKUP(Exceptions[[#This Row],[Activity]],Types_of_Activity[Type of Activity],Types_of_Activity[Classification])=2,Exceptions[[#This Row],[Elapsed]],0))</f>
        <v/>
      </c>
    </row>
    <row r="187" spans="2:11" x14ac:dyDescent="0.3">
      <c r="B187" t="str">
        <f>TEXT(Exceptions[[#This Row],[Date]],"MMMM")</f>
        <v>January</v>
      </c>
      <c r="C187" s="145"/>
      <c r="D187" s="135"/>
      <c r="E187" s="135"/>
      <c r="F187" s="102"/>
      <c r="G187" s="102"/>
      <c r="H187" s="102"/>
      <c r="I187" s="42" t="str">
        <f>IF(OR(ISBLANK(Exceptions[[#This Row],[Start]]),ISBLANK(Exceptions[[#This Row],[End]])),"",(Exceptions[[#This Row],[End]]-Exceptions[[#This Row],[Start]])*1440)</f>
        <v/>
      </c>
      <c r="J187" s="42" t="str">
        <f>IF(ISBLANK(Exceptions[[#This Row],[Date]]),"",IF(Exceptions[[#This Row],[Activity]]="Instruction",Exceptions[[#This Row],[Elapsed]],0))</f>
        <v/>
      </c>
      <c r="K187" s="42" t="str">
        <f>IF(ISBLANK(Exceptions[[#This Row],[Activity]]),"",IF(_xlfn.XLOOKUP(Exceptions[[#This Row],[Activity]],Types_of_Activity[Type of Activity],Types_of_Activity[Classification])=2,Exceptions[[#This Row],[Elapsed]],0))</f>
        <v/>
      </c>
    </row>
    <row r="188" spans="2:11" x14ac:dyDescent="0.3">
      <c r="B188" t="str">
        <f>TEXT(Exceptions[[#This Row],[Date]],"MMMM")</f>
        <v>January</v>
      </c>
      <c r="C188" s="145"/>
      <c r="D188" s="135"/>
      <c r="E188" s="135"/>
      <c r="F188" s="102"/>
      <c r="G188" s="102"/>
      <c r="H188" s="102"/>
      <c r="I188" s="42" t="str">
        <f>IF(OR(ISBLANK(Exceptions[[#This Row],[Start]]),ISBLANK(Exceptions[[#This Row],[End]])),"",(Exceptions[[#This Row],[End]]-Exceptions[[#This Row],[Start]])*1440)</f>
        <v/>
      </c>
      <c r="J188" s="42" t="str">
        <f>IF(ISBLANK(Exceptions[[#This Row],[Date]]),"",IF(Exceptions[[#This Row],[Activity]]="Instruction",Exceptions[[#This Row],[Elapsed]],0))</f>
        <v/>
      </c>
      <c r="K188" s="42" t="str">
        <f>IF(ISBLANK(Exceptions[[#This Row],[Activity]]),"",IF(_xlfn.XLOOKUP(Exceptions[[#This Row],[Activity]],Types_of_Activity[Type of Activity],Types_of_Activity[Classification])=2,Exceptions[[#This Row],[Elapsed]],0))</f>
        <v/>
      </c>
    </row>
    <row r="189" spans="2:11" x14ac:dyDescent="0.3">
      <c r="B189" t="str">
        <f>TEXT(Exceptions[[#This Row],[Date]],"MMMM")</f>
        <v>January</v>
      </c>
      <c r="C189" s="145"/>
      <c r="D189" s="135"/>
      <c r="E189" s="135"/>
      <c r="F189" s="102"/>
      <c r="G189" s="102"/>
      <c r="H189" s="102"/>
      <c r="I189" s="42" t="str">
        <f>IF(OR(ISBLANK(Exceptions[[#This Row],[Start]]),ISBLANK(Exceptions[[#This Row],[End]])),"",(Exceptions[[#This Row],[End]]-Exceptions[[#This Row],[Start]])*1440)</f>
        <v/>
      </c>
      <c r="J189" s="42" t="str">
        <f>IF(ISBLANK(Exceptions[[#This Row],[Date]]),"",IF(Exceptions[[#This Row],[Activity]]="Instruction",Exceptions[[#This Row],[Elapsed]],0))</f>
        <v/>
      </c>
      <c r="K189" s="42" t="str">
        <f>IF(ISBLANK(Exceptions[[#This Row],[Activity]]),"",IF(_xlfn.XLOOKUP(Exceptions[[#This Row],[Activity]],Types_of_Activity[Type of Activity],Types_of_Activity[Classification])=2,Exceptions[[#This Row],[Elapsed]],0))</f>
        <v/>
      </c>
    </row>
    <row r="190" spans="2:11" x14ac:dyDescent="0.3">
      <c r="B190" t="str">
        <f>TEXT(Exceptions[[#This Row],[Date]],"MMMM")</f>
        <v>January</v>
      </c>
      <c r="C190" s="145"/>
      <c r="D190" s="135"/>
      <c r="E190" s="135"/>
      <c r="F190" s="102"/>
      <c r="G190" s="102"/>
      <c r="H190" s="102"/>
      <c r="I190" s="42" t="str">
        <f>IF(OR(ISBLANK(Exceptions[[#This Row],[Start]]),ISBLANK(Exceptions[[#This Row],[End]])),"",(Exceptions[[#This Row],[End]]-Exceptions[[#This Row],[Start]])*1440)</f>
        <v/>
      </c>
      <c r="J190" s="42" t="str">
        <f>IF(ISBLANK(Exceptions[[#This Row],[Date]]),"",IF(Exceptions[[#This Row],[Activity]]="Instruction",Exceptions[[#This Row],[Elapsed]],0))</f>
        <v/>
      </c>
      <c r="K190" s="42" t="str">
        <f>IF(ISBLANK(Exceptions[[#This Row],[Activity]]),"",IF(_xlfn.XLOOKUP(Exceptions[[#This Row],[Activity]],Types_of_Activity[Type of Activity],Types_of_Activity[Classification])=2,Exceptions[[#This Row],[Elapsed]],0))</f>
        <v/>
      </c>
    </row>
    <row r="191" spans="2:11" x14ac:dyDescent="0.3">
      <c r="B191" t="str">
        <f>TEXT(Exceptions[[#This Row],[Date]],"MMMM")</f>
        <v>January</v>
      </c>
      <c r="C191" s="145"/>
      <c r="D191" s="135"/>
      <c r="E191" s="135"/>
      <c r="F191" s="102"/>
      <c r="G191" s="102"/>
      <c r="H191" s="102"/>
      <c r="I191" s="42" t="str">
        <f>IF(OR(ISBLANK(Exceptions[[#This Row],[Start]]),ISBLANK(Exceptions[[#This Row],[End]])),"",(Exceptions[[#This Row],[End]]-Exceptions[[#This Row],[Start]])*1440)</f>
        <v/>
      </c>
      <c r="J191" s="42" t="str">
        <f>IF(ISBLANK(Exceptions[[#This Row],[Date]]),"",IF(Exceptions[[#This Row],[Activity]]="Instruction",Exceptions[[#This Row],[Elapsed]],0))</f>
        <v/>
      </c>
      <c r="K191" s="42" t="str">
        <f>IF(ISBLANK(Exceptions[[#This Row],[Activity]]),"",IF(_xlfn.XLOOKUP(Exceptions[[#This Row],[Activity]],Types_of_Activity[Type of Activity],Types_of_Activity[Classification])=2,Exceptions[[#This Row],[Elapsed]],0))</f>
        <v/>
      </c>
    </row>
    <row r="192" spans="2:11" x14ac:dyDescent="0.3">
      <c r="B192" t="str">
        <f>TEXT(Exceptions[[#This Row],[Date]],"MMMM")</f>
        <v>January</v>
      </c>
      <c r="C192" s="145"/>
      <c r="D192" s="135"/>
      <c r="E192" s="135"/>
      <c r="F192" s="102"/>
      <c r="G192" s="102"/>
      <c r="H192" s="102"/>
      <c r="I192" s="42" t="str">
        <f>IF(OR(ISBLANK(Exceptions[[#This Row],[Start]]),ISBLANK(Exceptions[[#This Row],[End]])),"",(Exceptions[[#This Row],[End]]-Exceptions[[#This Row],[Start]])*1440)</f>
        <v/>
      </c>
      <c r="J192" s="42" t="str">
        <f>IF(ISBLANK(Exceptions[[#This Row],[Date]]),"",IF(Exceptions[[#This Row],[Activity]]="Instruction",Exceptions[[#This Row],[Elapsed]],0))</f>
        <v/>
      </c>
      <c r="K192" s="42" t="str">
        <f>IF(ISBLANK(Exceptions[[#This Row],[Activity]]),"",IF(_xlfn.XLOOKUP(Exceptions[[#This Row],[Activity]],Types_of_Activity[Type of Activity],Types_of_Activity[Classification])=2,Exceptions[[#This Row],[Elapsed]],0))</f>
        <v/>
      </c>
    </row>
    <row r="193" spans="2:11" x14ac:dyDescent="0.3">
      <c r="B193" t="str">
        <f>TEXT(Exceptions[[#This Row],[Date]],"MMMM")</f>
        <v>January</v>
      </c>
      <c r="C193" s="145"/>
      <c r="D193" s="135"/>
      <c r="E193" s="135"/>
      <c r="F193" s="102"/>
      <c r="G193" s="102"/>
      <c r="H193" s="102"/>
      <c r="I193" s="42" t="str">
        <f>IF(OR(ISBLANK(Exceptions[[#This Row],[Start]]),ISBLANK(Exceptions[[#This Row],[End]])),"",(Exceptions[[#This Row],[End]]-Exceptions[[#This Row],[Start]])*1440)</f>
        <v/>
      </c>
      <c r="J193" s="42" t="str">
        <f>IF(ISBLANK(Exceptions[[#This Row],[Date]]),"",IF(Exceptions[[#This Row],[Activity]]="Instruction",Exceptions[[#This Row],[Elapsed]],0))</f>
        <v/>
      </c>
      <c r="K193" s="42" t="str">
        <f>IF(ISBLANK(Exceptions[[#This Row],[Activity]]),"",IF(_xlfn.XLOOKUP(Exceptions[[#This Row],[Activity]],Types_of_Activity[Type of Activity],Types_of_Activity[Classification])=2,Exceptions[[#This Row],[Elapsed]],0))</f>
        <v/>
      </c>
    </row>
    <row r="194" spans="2:11" x14ac:dyDescent="0.3">
      <c r="B194" t="str">
        <f>TEXT(Exceptions[[#This Row],[Date]],"MMMM")</f>
        <v>January</v>
      </c>
      <c r="C194" s="145"/>
      <c r="D194" s="135"/>
      <c r="E194" s="135"/>
      <c r="F194" s="102"/>
      <c r="G194" s="102"/>
      <c r="H194" s="102"/>
      <c r="I194" s="42" t="str">
        <f>IF(OR(ISBLANK(Exceptions[[#This Row],[Start]]),ISBLANK(Exceptions[[#This Row],[End]])),"",(Exceptions[[#This Row],[End]]-Exceptions[[#This Row],[Start]])*1440)</f>
        <v/>
      </c>
      <c r="J194" s="42" t="str">
        <f>IF(ISBLANK(Exceptions[[#This Row],[Date]]),"",IF(Exceptions[[#This Row],[Activity]]="Instruction",Exceptions[[#This Row],[Elapsed]],0))</f>
        <v/>
      </c>
      <c r="K194" s="42" t="str">
        <f>IF(ISBLANK(Exceptions[[#This Row],[Activity]]),"",IF(_xlfn.XLOOKUP(Exceptions[[#This Row],[Activity]],Types_of_Activity[Type of Activity],Types_of_Activity[Classification])=2,Exceptions[[#This Row],[Elapsed]],0))</f>
        <v/>
      </c>
    </row>
    <row r="195" spans="2:11" x14ac:dyDescent="0.3">
      <c r="B195" t="str">
        <f>TEXT(Exceptions[[#This Row],[Date]],"MMMM")</f>
        <v>January</v>
      </c>
      <c r="C195" s="145"/>
      <c r="D195" s="135"/>
      <c r="E195" s="135"/>
      <c r="F195" s="102"/>
      <c r="G195" s="102"/>
      <c r="H195" s="102"/>
      <c r="I195" s="42" t="str">
        <f>IF(OR(ISBLANK(Exceptions[[#This Row],[Start]]),ISBLANK(Exceptions[[#This Row],[End]])),"",(Exceptions[[#This Row],[End]]-Exceptions[[#This Row],[Start]])*1440)</f>
        <v/>
      </c>
      <c r="J195" s="42" t="str">
        <f>IF(ISBLANK(Exceptions[[#This Row],[Date]]),"",IF(Exceptions[[#This Row],[Activity]]="Instruction",Exceptions[[#This Row],[Elapsed]],0))</f>
        <v/>
      </c>
      <c r="K195" s="42" t="str">
        <f>IF(ISBLANK(Exceptions[[#This Row],[Activity]]),"",IF(_xlfn.XLOOKUP(Exceptions[[#This Row],[Activity]],Types_of_Activity[Type of Activity],Types_of_Activity[Classification])=2,Exceptions[[#This Row],[Elapsed]],0))</f>
        <v/>
      </c>
    </row>
    <row r="196" spans="2:11" x14ac:dyDescent="0.3">
      <c r="B196" t="str">
        <f>TEXT(Exceptions[[#This Row],[Date]],"MMMM")</f>
        <v>January</v>
      </c>
      <c r="C196" s="145"/>
      <c r="D196" s="135"/>
      <c r="E196" s="135"/>
      <c r="F196" s="102"/>
      <c r="G196" s="102"/>
      <c r="H196" s="102"/>
      <c r="I196" s="42" t="str">
        <f>IF(OR(ISBLANK(Exceptions[[#This Row],[Start]]),ISBLANK(Exceptions[[#This Row],[End]])),"",(Exceptions[[#This Row],[End]]-Exceptions[[#This Row],[Start]])*1440)</f>
        <v/>
      </c>
      <c r="J196" s="42" t="str">
        <f>IF(ISBLANK(Exceptions[[#This Row],[Date]]),"",IF(Exceptions[[#This Row],[Activity]]="Instruction",Exceptions[[#This Row],[Elapsed]],0))</f>
        <v/>
      </c>
      <c r="K196" s="42" t="str">
        <f>IF(ISBLANK(Exceptions[[#This Row],[Activity]]),"",IF(_xlfn.XLOOKUP(Exceptions[[#This Row],[Activity]],Types_of_Activity[Type of Activity],Types_of_Activity[Classification])=2,Exceptions[[#This Row],[Elapsed]],0))</f>
        <v/>
      </c>
    </row>
    <row r="197" spans="2:11" x14ac:dyDescent="0.3">
      <c r="B197" t="str">
        <f>TEXT(Exceptions[[#This Row],[Date]],"MMMM")</f>
        <v>January</v>
      </c>
      <c r="C197" s="145"/>
      <c r="D197" s="135"/>
      <c r="E197" s="135"/>
      <c r="F197" s="102"/>
      <c r="G197" s="102"/>
      <c r="H197" s="102"/>
      <c r="I197" s="42" t="str">
        <f>IF(OR(ISBLANK(Exceptions[[#This Row],[Start]]),ISBLANK(Exceptions[[#This Row],[End]])),"",(Exceptions[[#This Row],[End]]-Exceptions[[#This Row],[Start]])*1440)</f>
        <v/>
      </c>
      <c r="J197" s="42" t="str">
        <f>IF(ISBLANK(Exceptions[[#This Row],[Date]]),"",IF(Exceptions[[#This Row],[Activity]]="Instruction",Exceptions[[#This Row],[Elapsed]],0))</f>
        <v/>
      </c>
      <c r="K197" s="42" t="str">
        <f>IF(ISBLANK(Exceptions[[#This Row],[Activity]]),"",IF(_xlfn.XLOOKUP(Exceptions[[#This Row],[Activity]],Types_of_Activity[Type of Activity],Types_of_Activity[Classification])=2,Exceptions[[#This Row],[Elapsed]],0))</f>
        <v/>
      </c>
    </row>
    <row r="198" spans="2:11" x14ac:dyDescent="0.3">
      <c r="B198" t="str">
        <f>TEXT(Exceptions[[#This Row],[Date]],"MMMM")</f>
        <v>January</v>
      </c>
      <c r="C198" s="145"/>
      <c r="D198" s="135"/>
      <c r="E198" s="135"/>
      <c r="F198" s="102"/>
      <c r="G198" s="102"/>
      <c r="H198" s="102"/>
      <c r="I198" s="42" t="str">
        <f>IF(OR(ISBLANK(Exceptions[[#This Row],[Start]]),ISBLANK(Exceptions[[#This Row],[End]])),"",(Exceptions[[#This Row],[End]]-Exceptions[[#This Row],[Start]])*1440)</f>
        <v/>
      </c>
      <c r="J198" s="42" t="str">
        <f>IF(ISBLANK(Exceptions[[#This Row],[Date]]),"",IF(Exceptions[[#This Row],[Activity]]="Instruction",Exceptions[[#This Row],[Elapsed]],0))</f>
        <v/>
      </c>
      <c r="K198" s="42" t="str">
        <f>IF(ISBLANK(Exceptions[[#This Row],[Activity]]),"",IF(_xlfn.XLOOKUP(Exceptions[[#This Row],[Activity]],Types_of_Activity[Type of Activity],Types_of_Activity[Classification])=2,Exceptions[[#This Row],[Elapsed]],0))</f>
        <v/>
      </c>
    </row>
    <row r="199" spans="2:11" x14ac:dyDescent="0.3">
      <c r="B199" t="str">
        <f>TEXT(Exceptions[[#This Row],[Date]],"MMMM")</f>
        <v>January</v>
      </c>
      <c r="C199" s="145"/>
      <c r="D199" s="135"/>
      <c r="E199" s="135"/>
      <c r="F199" s="102"/>
      <c r="G199" s="102"/>
      <c r="H199" s="102"/>
      <c r="I199" s="42" t="str">
        <f>IF(OR(ISBLANK(Exceptions[[#This Row],[Start]]),ISBLANK(Exceptions[[#This Row],[End]])),"",(Exceptions[[#This Row],[End]]-Exceptions[[#This Row],[Start]])*1440)</f>
        <v/>
      </c>
      <c r="J199" s="42" t="str">
        <f>IF(ISBLANK(Exceptions[[#This Row],[Date]]),"",IF(Exceptions[[#This Row],[Activity]]="Instruction",Exceptions[[#This Row],[Elapsed]],0))</f>
        <v/>
      </c>
      <c r="K199" s="42" t="str">
        <f>IF(ISBLANK(Exceptions[[#This Row],[Activity]]),"",IF(_xlfn.XLOOKUP(Exceptions[[#This Row],[Activity]],Types_of_Activity[Type of Activity],Types_of_Activity[Classification])=2,Exceptions[[#This Row],[Elapsed]],0))</f>
        <v/>
      </c>
    </row>
    <row r="200" spans="2:11" x14ac:dyDescent="0.3">
      <c r="B200" t="str">
        <f>TEXT(Exceptions[[#This Row],[Date]],"MMMM")</f>
        <v>January</v>
      </c>
      <c r="C200" s="145"/>
      <c r="D200" s="135"/>
      <c r="E200" s="135"/>
      <c r="F200" s="102"/>
      <c r="G200" s="102"/>
      <c r="H200" s="102"/>
      <c r="I200" s="42" t="str">
        <f>IF(OR(ISBLANK(Exceptions[[#This Row],[Start]]),ISBLANK(Exceptions[[#This Row],[End]])),"",(Exceptions[[#This Row],[End]]-Exceptions[[#This Row],[Start]])*1440)</f>
        <v/>
      </c>
      <c r="J200" s="42" t="str">
        <f>IF(ISBLANK(Exceptions[[#This Row],[Date]]),"",IF(Exceptions[[#This Row],[Activity]]="Instruction",Exceptions[[#This Row],[Elapsed]],0))</f>
        <v/>
      </c>
      <c r="K200" s="42" t="str">
        <f>IF(ISBLANK(Exceptions[[#This Row],[Activity]]),"",IF(_xlfn.XLOOKUP(Exceptions[[#This Row],[Activity]],Types_of_Activity[Type of Activity],Types_of_Activity[Classification])=2,Exceptions[[#This Row],[Elapsed]],0))</f>
        <v/>
      </c>
    </row>
    <row r="201" spans="2:11" x14ac:dyDescent="0.3">
      <c r="B201" t="str">
        <f>TEXT(Exceptions[[#This Row],[Date]],"MMMM")</f>
        <v>January</v>
      </c>
      <c r="C201" s="145"/>
      <c r="D201" s="135"/>
      <c r="E201" s="135"/>
      <c r="F201" s="102"/>
      <c r="G201" s="102"/>
      <c r="H201" s="102"/>
      <c r="I201" s="42" t="str">
        <f>IF(OR(ISBLANK(Exceptions[[#This Row],[Start]]),ISBLANK(Exceptions[[#This Row],[End]])),"",(Exceptions[[#This Row],[End]]-Exceptions[[#This Row],[Start]])*1440)</f>
        <v/>
      </c>
      <c r="J201" s="42" t="str">
        <f>IF(ISBLANK(Exceptions[[#This Row],[Date]]),"",IF(Exceptions[[#This Row],[Activity]]="Instruction",Exceptions[[#This Row],[Elapsed]],0))</f>
        <v/>
      </c>
      <c r="K201" s="42" t="str">
        <f>IF(ISBLANK(Exceptions[[#This Row],[Activity]]),"",IF(_xlfn.XLOOKUP(Exceptions[[#This Row],[Activity]],Types_of_Activity[Type of Activity],Types_of_Activity[Classification])=2,Exceptions[[#This Row],[Elapsed]],0))</f>
        <v/>
      </c>
    </row>
    <row r="202" spans="2:11" x14ac:dyDescent="0.3">
      <c r="B202" t="str">
        <f>TEXT(Exceptions[[#This Row],[Date]],"MMMM")</f>
        <v>January</v>
      </c>
      <c r="C202" s="145"/>
      <c r="D202" s="135"/>
      <c r="E202" s="135"/>
      <c r="F202" s="102"/>
      <c r="G202" s="102"/>
      <c r="H202" s="102"/>
      <c r="I202" s="42" t="str">
        <f>IF(OR(ISBLANK(Exceptions[[#This Row],[Start]]),ISBLANK(Exceptions[[#This Row],[End]])),"",(Exceptions[[#This Row],[End]]-Exceptions[[#This Row],[Start]])*1440)</f>
        <v/>
      </c>
      <c r="J202" s="42" t="str">
        <f>IF(ISBLANK(Exceptions[[#This Row],[Date]]),"",IF(Exceptions[[#This Row],[Activity]]="Instruction",Exceptions[[#This Row],[Elapsed]],0))</f>
        <v/>
      </c>
      <c r="K202" s="42" t="str">
        <f>IF(ISBLANK(Exceptions[[#This Row],[Activity]]),"",IF(_xlfn.XLOOKUP(Exceptions[[#This Row],[Activity]],Types_of_Activity[Type of Activity],Types_of_Activity[Classification])=2,Exceptions[[#This Row],[Elapsed]],0))</f>
        <v/>
      </c>
    </row>
    <row r="203" spans="2:11" x14ac:dyDescent="0.3">
      <c r="B203" t="str">
        <f>TEXT(Exceptions[[#This Row],[Date]],"MMMM")</f>
        <v>January</v>
      </c>
      <c r="C203" s="145"/>
      <c r="D203" s="135"/>
      <c r="E203" s="135"/>
      <c r="F203" s="102"/>
      <c r="G203" s="102"/>
      <c r="H203" s="102"/>
      <c r="I203" s="42" t="str">
        <f>IF(OR(ISBLANK(Exceptions[[#This Row],[Start]]),ISBLANK(Exceptions[[#This Row],[End]])),"",(Exceptions[[#This Row],[End]]-Exceptions[[#This Row],[Start]])*1440)</f>
        <v/>
      </c>
      <c r="J203" s="42" t="str">
        <f>IF(ISBLANK(Exceptions[[#This Row],[Date]]),"",IF(Exceptions[[#This Row],[Activity]]="Instruction",Exceptions[[#This Row],[Elapsed]],0))</f>
        <v/>
      </c>
      <c r="K203" s="42" t="str">
        <f>IF(ISBLANK(Exceptions[[#This Row],[Activity]]),"",IF(_xlfn.XLOOKUP(Exceptions[[#This Row],[Activity]],Types_of_Activity[Type of Activity],Types_of_Activity[Classification])=2,Exceptions[[#This Row],[Elapsed]],0))</f>
        <v/>
      </c>
    </row>
    <row r="204" spans="2:11" x14ac:dyDescent="0.3">
      <c r="B204" t="str">
        <f>TEXT(Exceptions[[#This Row],[Date]],"MMMM")</f>
        <v>January</v>
      </c>
      <c r="C204" s="145"/>
      <c r="D204" s="135"/>
      <c r="E204" s="135"/>
      <c r="F204" s="102"/>
      <c r="G204" s="102"/>
      <c r="H204" s="102"/>
      <c r="I204" s="42" t="str">
        <f>IF(OR(ISBLANK(Exceptions[[#This Row],[Start]]),ISBLANK(Exceptions[[#This Row],[End]])),"",(Exceptions[[#This Row],[End]]-Exceptions[[#This Row],[Start]])*1440)</f>
        <v/>
      </c>
      <c r="J204" s="42" t="str">
        <f>IF(ISBLANK(Exceptions[[#This Row],[Date]]),"",IF(Exceptions[[#This Row],[Activity]]="Instruction",Exceptions[[#This Row],[Elapsed]],0))</f>
        <v/>
      </c>
      <c r="K204" s="42" t="str">
        <f>IF(ISBLANK(Exceptions[[#This Row],[Activity]]),"",IF(_xlfn.XLOOKUP(Exceptions[[#This Row],[Activity]],Types_of_Activity[Type of Activity],Types_of_Activity[Classification])=2,Exceptions[[#This Row],[Elapsed]],0))</f>
        <v/>
      </c>
    </row>
    <row r="205" spans="2:11" x14ac:dyDescent="0.3">
      <c r="B205" t="str">
        <f>TEXT(Exceptions[[#This Row],[Date]],"MMMM")</f>
        <v>January</v>
      </c>
      <c r="C205" s="145"/>
      <c r="D205" s="135"/>
      <c r="E205" s="135"/>
      <c r="F205" s="102"/>
      <c r="G205" s="102"/>
      <c r="H205" s="102"/>
      <c r="I205" s="42" t="str">
        <f>IF(OR(ISBLANK(Exceptions[[#This Row],[Start]]),ISBLANK(Exceptions[[#This Row],[End]])),"",(Exceptions[[#This Row],[End]]-Exceptions[[#This Row],[Start]])*1440)</f>
        <v/>
      </c>
      <c r="J205" s="42" t="str">
        <f>IF(ISBLANK(Exceptions[[#This Row],[Date]]),"",IF(Exceptions[[#This Row],[Activity]]="Instruction",Exceptions[[#This Row],[Elapsed]],0))</f>
        <v/>
      </c>
      <c r="K205" s="42" t="str">
        <f>IF(ISBLANK(Exceptions[[#This Row],[Activity]]),"",IF(_xlfn.XLOOKUP(Exceptions[[#This Row],[Activity]],Types_of_Activity[Type of Activity],Types_of_Activity[Classification])=2,Exceptions[[#This Row],[Elapsed]],0))</f>
        <v/>
      </c>
    </row>
    <row r="206" spans="2:11" x14ac:dyDescent="0.3">
      <c r="B206" t="str">
        <f>TEXT(Exceptions[[#This Row],[Date]],"MMMM")</f>
        <v>January</v>
      </c>
      <c r="C206" s="145"/>
      <c r="D206" s="135"/>
      <c r="E206" s="135"/>
      <c r="F206" s="102"/>
      <c r="G206" s="102"/>
      <c r="H206" s="102"/>
      <c r="I206" s="42" t="str">
        <f>IF(OR(ISBLANK(Exceptions[[#This Row],[Start]]),ISBLANK(Exceptions[[#This Row],[End]])),"",(Exceptions[[#This Row],[End]]-Exceptions[[#This Row],[Start]])*1440)</f>
        <v/>
      </c>
      <c r="J206" s="42" t="str">
        <f>IF(ISBLANK(Exceptions[[#This Row],[Date]]),"",IF(Exceptions[[#This Row],[Activity]]="Instruction",Exceptions[[#This Row],[Elapsed]],0))</f>
        <v/>
      </c>
      <c r="K206" s="42" t="str">
        <f>IF(ISBLANK(Exceptions[[#This Row],[Activity]]),"",IF(_xlfn.XLOOKUP(Exceptions[[#This Row],[Activity]],Types_of_Activity[Type of Activity],Types_of_Activity[Classification])=2,Exceptions[[#This Row],[Elapsed]],0))</f>
        <v/>
      </c>
    </row>
    <row r="207" spans="2:11" x14ac:dyDescent="0.3">
      <c r="B207" t="str">
        <f>TEXT(Exceptions[[#This Row],[Date]],"MMMM")</f>
        <v>January</v>
      </c>
      <c r="C207" s="145"/>
      <c r="D207" s="135"/>
      <c r="E207" s="135"/>
      <c r="F207" s="102"/>
      <c r="G207" s="102"/>
      <c r="H207" s="102"/>
      <c r="I207" s="42" t="str">
        <f>IF(OR(ISBLANK(Exceptions[[#This Row],[Start]]),ISBLANK(Exceptions[[#This Row],[End]])),"",(Exceptions[[#This Row],[End]]-Exceptions[[#This Row],[Start]])*1440)</f>
        <v/>
      </c>
      <c r="J207" s="42" t="str">
        <f>IF(ISBLANK(Exceptions[[#This Row],[Date]]),"",IF(Exceptions[[#This Row],[Activity]]="Instruction",Exceptions[[#This Row],[Elapsed]],0))</f>
        <v/>
      </c>
      <c r="K207" s="42" t="str">
        <f>IF(ISBLANK(Exceptions[[#This Row],[Activity]]),"",IF(_xlfn.XLOOKUP(Exceptions[[#This Row],[Activity]],Types_of_Activity[Type of Activity],Types_of_Activity[Classification])=2,Exceptions[[#This Row],[Elapsed]],0))</f>
        <v/>
      </c>
    </row>
    <row r="208" spans="2:11" x14ac:dyDescent="0.3">
      <c r="B208" t="str">
        <f>TEXT(Exceptions[[#This Row],[Date]],"MMMM")</f>
        <v>January</v>
      </c>
      <c r="C208" s="145"/>
      <c r="D208" s="135"/>
      <c r="E208" s="135"/>
      <c r="F208" s="102"/>
      <c r="G208" s="102"/>
      <c r="H208" s="102"/>
      <c r="I208" s="42" t="str">
        <f>IF(OR(ISBLANK(Exceptions[[#This Row],[Start]]),ISBLANK(Exceptions[[#This Row],[End]])),"",(Exceptions[[#This Row],[End]]-Exceptions[[#This Row],[Start]])*1440)</f>
        <v/>
      </c>
      <c r="J208" s="42" t="str">
        <f>IF(ISBLANK(Exceptions[[#This Row],[Date]]),"",IF(Exceptions[[#This Row],[Activity]]="Instruction",Exceptions[[#This Row],[Elapsed]],0))</f>
        <v/>
      </c>
      <c r="K208" s="42" t="str">
        <f>IF(ISBLANK(Exceptions[[#This Row],[Activity]]),"",IF(_xlfn.XLOOKUP(Exceptions[[#This Row],[Activity]],Types_of_Activity[Type of Activity],Types_of_Activity[Classification])=2,Exceptions[[#This Row],[Elapsed]],0))</f>
        <v/>
      </c>
    </row>
    <row r="209" spans="2:11" x14ac:dyDescent="0.3">
      <c r="B209" t="str">
        <f>TEXT(Exceptions[[#This Row],[Date]],"MMMM")</f>
        <v>January</v>
      </c>
      <c r="C209" s="145"/>
      <c r="D209" s="135"/>
      <c r="E209" s="135"/>
      <c r="F209" s="102"/>
      <c r="G209" s="102"/>
      <c r="H209" s="102"/>
      <c r="I209" s="42" t="str">
        <f>IF(OR(ISBLANK(Exceptions[[#This Row],[Start]]),ISBLANK(Exceptions[[#This Row],[End]])),"",(Exceptions[[#This Row],[End]]-Exceptions[[#This Row],[Start]])*1440)</f>
        <v/>
      </c>
      <c r="J209" s="42" t="str">
        <f>IF(ISBLANK(Exceptions[[#This Row],[Date]]),"",IF(Exceptions[[#This Row],[Activity]]="Instruction",Exceptions[[#This Row],[Elapsed]],0))</f>
        <v/>
      </c>
      <c r="K209" s="42" t="str">
        <f>IF(ISBLANK(Exceptions[[#This Row],[Activity]]),"",IF(_xlfn.XLOOKUP(Exceptions[[#This Row],[Activity]],Types_of_Activity[Type of Activity],Types_of_Activity[Classification])=2,Exceptions[[#This Row],[Elapsed]],0))</f>
        <v/>
      </c>
    </row>
    <row r="210" spans="2:11" x14ac:dyDescent="0.3">
      <c r="B210" t="str">
        <f>TEXT(Exceptions[[#This Row],[Date]],"MMMM")</f>
        <v>January</v>
      </c>
      <c r="C210" s="145"/>
      <c r="D210" s="135"/>
      <c r="E210" s="135"/>
      <c r="F210" s="102"/>
      <c r="G210" s="102"/>
      <c r="H210" s="102"/>
      <c r="I210" s="42" t="str">
        <f>IF(OR(ISBLANK(Exceptions[[#This Row],[Start]]),ISBLANK(Exceptions[[#This Row],[End]])),"",(Exceptions[[#This Row],[End]]-Exceptions[[#This Row],[Start]])*1440)</f>
        <v/>
      </c>
      <c r="J210" s="42" t="str">
        <f>IF(ISBLANK(Exceptions[[#This Row],[Date]]),"",IF(Exceptions[[#This Row],[Activity]]="Instruction",Exceptions[[#This Row],[Elapsed]],0))</f>
        <v/>
      </c>
      <c r="K210" s="42" t="str">
        <f>IF(ISBLANK(Exceptions[[#This Row],[Activity]]),"",IF(_xlfn.XLOOKUP(Exceptions[[#This Row],[Activity]],Types_of_Activity[Type of Activity],Types_of_Activity[Classification])=2,Exceptions[[#This Row],[Elapsed]],0))</f>
        <v/>
      </c>
    </row>
    <row r="211" spans="2:11" x14ac:dyDescent="0.3">
      <c r="B211" t="str">
        <f>TEXT(Exceptions[[#This Row],[Date]],"MMMM")</f>
        <v>January</v>
      </c>
      <c r="C211" s="145"/>
      <c r="D211" s="135"/>
      <c r="E211" s="135"/>
      <c r="F211" s="102"/>
      <c r="G211" s="102"/>
      <c r="H211" s="102"/>
      <c r="I211" s="42" t="str">
        <f>IF(OR(ISBLANK(Exceptions[[#This Row],[Start]]),ISBLANK(Exceptions[[#This Row],[End]])),"",(Exceptions[[#This Row],[End]]-Exceptions[[#This Row],[Start]])*1440)</f>
        <v/>
      </c>
      <c r="J211" s="42" t="str">
        <f>IF(ISBLANK(Exceptions[[#This Row],[Date]]),"",IF(Exceptions[[#This Row],[Activity]]="Instruction",Exceptions[[#This Row],[Elapsed]],0))</f>
        <v/>
      </c>
      <c r="K211" s="42" t="str">
        <f>IF(ISBLANK(Exceptions[[#This Row],[Activity]]),"",IF(_xlfn.XLOOKUP(Exceptions[[#This Row],[Activity]],Types_of_Activity[Type of Activity],Types_of_Activity[Classification])=2,Exceptions[[#This Row],[Elapsed]],0))</f>
        <v/>
      </c>
    </row>
    <row r="212" spans="2:11" x14ac:dyDescent="0.3">
      <c r="B212" t="str">
        <f>TEXT(Exceptions[[#This Row],[Date]],"MMMM")</f>
        <v>January</v>
      </c>
      <c r="C212" s="145"/>
      <c r="D212" s="135"/>
      <c r="E212" s="135"/>
      <c r="F212" s="102"/>
      <c r="G212" s="102"/>
      <c r="H212" s="102"/>
      <c r="I212" s="42" t="str">
        <f>IF(OR(ISBLANK(Exceptions[[#This Row],[Start]]),ISBLANK(Exceptions[[#This Row],[End]])),"",(Exceptions[[#This Row],[End]]-Exceptions[[#This Row],[Start]])*1440)</f>
        <v/>
      </c>
      <c r="J212" s="42" t="str">
        <f>IF(ISBLANK(Exceptions[[#This Row],[Date]]),"",IF(Exceptions[[#This Row],[Activity]]="Instruction",Exceptions[[#This Row],[Elapsed]],0))</f>
        <v/>
      </c>
      <c r="K212" s="42" t="str">
        <f>IF(ISBLANK(Exceptions[[#This Row],[Activity]]),"",IF(_xlfn.XLOOKUP(Exceptions[[#This Row],[Activity]],Types_of_Activity[Type of Activity],Types_of_Activity[Classification])=2,Exceptions[[#This Row],[Elapsed]],0))</f>
        <v/>
      </c>
    </row>
    <row r="213" spans="2:11" x14ac:dyDescent="0.3">
      <c r="B213" t="str">
        <f>TEXT(Exceptions[[#This Row],[Date]],"MMMM")</f>
        <v>January</v>
      </c>
      <c r="C213" s="145"/>
      <c r="D213" s="135"/>
      <c r="E213" s="135"/>
      <c r="F213" s="102"/>
      <c r="G213" s="102"/>
      <c r="H213" s="102"/>
      <c r="I213" s="42" t="str">
        <f>IF(OR(ISBLANK(Exceptions[[#This Row],[Start]]),ISBLANK(Exceptions[[#This Row],[End]])),"",(Exceptions[[#This Row],[End]]-Exceptions[[#This Row],[Start]])*1440)</f>
        <v/>
      </c>
      <c r="J213" s="42" t="str">
        <f>IF(ISBLANK(Exceptions[[#This Row],[Date]]),"",IF(Exceptions[[#This Row],[Activity]]="Instruction",Exceptions[[#This Row],[Elapsed]],0))</f>
        <v/>
      </c>
      <c r="K213" s="42" t="str">
        <f>IF(ISBLANK(Exceptions[[#This Row],[Activity]]),"",IF(_xlfn.XLOOKUP(Exceptions[[#This Row],[Activity]],Types_of_Activity[Type of Activity],Types_of_Activity[Classification])=2,Exceptions[[#This Row],[Elapsed]],0))</f>
        <v/>
      </c>
    </row>
    <row r="214" spans="2:11" x14ac:dyDescent="0.3">
      <c r="B214" t="str">
        <f>TEXT(Exceptions[[#This Row],[Date]],"MMMM")</f>
        <v>January</v>
      </c>
      <c r="C214" s="145"/>
      <c r="D214" s="135"/>
      <c r="E214" s="135"/>
      <c r="F214" s="102"/>
      <c r="G214" s="102"/>
      <c r="H214" s="102"/>
      <c r="I214" s="42" t="str">
        <f>IF(OR(ISBLANK(Exceptions[[#This Row],[Start]]),ISBLANK(Exceptions[[#This Row],[End]])),"",(Exceptions[[#This Row],[End]]-Exceptions[[#This Row],[Start]])*1440)</f>
        <v/>
      </c>
      <c r="J214" s="42" t="str">
        <f>IF(ISBLANK(Exceptions[[#This Row],[Date]]),"",IF(Exceptions[[#This Row],[Activity]]="Instruction",Exceptions[[#This Row],[Elapsed]],0))</f>
        <v/>
      </c>
      <c r="K214" s="42" t="str">
        <f>IF(ISBLANK(Exceptions[[#This Row],[Activity]]),"",IF(_xlfn.XLOOKUP(Exceptions[[#This Row],[Activity]],Types_of_Activity[Type of Activity],Types_of_Activity[Classification])=2,Exceptions[[#This Row],[Elapsed]],0))</f>
        <v/>
      </c>
    </row>
    <row r="215" spans="2:11" x14ac:dyDescent="0.3">
      <c r="B215" t="str">
        <f>TEXT(Exceptions[[#This Row],[Date]],"MMMM")</f>
        <v>January</v>
      </c>
      <c r="C215" s="145"/>
      <c r="D215" s="135"/>
      <c r="E215" s="135"/>
      <c r="F215" s="102"/>
      <c r="G215" s="102"/>
      <c r="H215" s="102"/>
      <c r="I215" s="42" t="str">
        <f>IF(OR(ISBLANK(Exceptions[[#This Row],[Start]]),ISBLANK(Exceptions[[#This Row],[End]])),"",(Exceptions[[#This Row],[End]]-Exceptions[[#This Row],[Start]])*1440)</f>
        <v/>
      </c>
      <c r="J215" s="42" t="str">
        <f>IF(ISBLANK(Exceptions[[#This Row],[Date]]),"",IF(Exceptions[[#This Row],[Activity]]="Instruction",Exceptions[[#This Row],[Elapsed]],0))</f>
        <v/>
      </c>
      <c r="K215" s="42" t="str">
        <f>IF(ISBLANK(Exceptions[[#This Row],[Activity]]),"",IF(_xlfn.XLOOKUP(Exceptions[[#This Row],[Activity]],Types_of_Activity[Type of Activity],Types_of_Activity[Classification])=2,Exceptions[[#This Row],[Elapsed]],0))</f>
        <v/>
      </c>
    </row>
    <row r="216" spans="2:11" x14ac:dyDescent="0.3">
      <c r="B216" t="str">
        <f>TEXT(Exceptions[[#This Row],[Date]],"MMMM")</f>
        <v>January</v>
      </c>
      <c r="C216" s="145"/>
      <c r="D216" s="135"/>
      <c r="E216" s="135"/>
      <c r="F216" s="102"/>
      <c r="G216" s="102"/>
      <c r="H216" s="102"/>
      <c r="I216" s="42" t="str">
        <f>IF(OR(ISBLANK(Exceptions[[#This Row],[Start]]),ISBLANK(Exceptions[[#This Row],[End]])),"",(Exceptions[[#This Row],[End]]-Exceptions[[#This Row],[Start]])*1440)</f>
        <v/>
      </c>
      <c r="J216" s="42" t="str">
        <f>IF(ISBLANK(Exceptions[[#This Row],[Date]]),"",IF(Exceptions[[#This Row],[Activity]]="Instruction",Exceptions[[#This Row],[Elapsed]],0))</f>
        <v/>
      </c>
      <c r="K216" s="42" t="str">
        <f>IF(ISBLANK(Exceptions[[#This Row],[Activity]]),"",IF(_xlfn.XLOOKUP(Exceptions[[#This Row],[Activity]],Types_of_Activity[Type of Activity],Types_of_Activity[Classification])=2,Exceptions[[#This Row],[Elapsed]],0))</f>
        <v/>
      </c>
    </row>
    <row r="217" spans="2:11" x14ac:dyDescent="0.3">
      <c r="B217" t="str">
        <f>TEXT(Exceptions[[#This Row],[Date]],"MMMM")</f>
        <v>January</v>
      </c>
      <c r="C217" s="145"/>
      <c r="D217" s="135"/>
      <c r="E217" s="135"/>
      <c r="F217" s="102"/>
      <c r="G217" s="102"/>
      <c r="H217" s="102"/>
      <c r="I217" s="42" t="str">
        <f>IF(OR(ISBLANK(Exceptions[[#This Row],[Start]]),ISBLANK(Exceptions[[#This Row],[End]])),"",(Exceptions[[#This Row],[End]]-Exceptions[[#This Row],[Start]])*1440)</f>
        <v/>
      </c>
      <c r="J217" s="42" t="str">
        <f>IF(ISBLANK(Exceptions[[#This Row],[Date]]),"",IF(Exceptions[[#This Row],[Activity]]="Instruction",Exceptions[[#This Row],[Elapsed]],0))</f>
        <v/>
      </c>
      <c r="K217" s="42" t="str">
        <f>IF(ISBLANK(Exceptions[[#This Row],[Activity]]),"",IF(_xlfn.XLOOKUP(Exceptions[[#This Row],[Activity]],Types_of_Activity[Type of Activity],Types_of_Activity[Classification])=2,Exceptions[[#This Row],[Elapsed]],0))</f>
        <v/>
      </c>
    </row>
    <row r="218" spans="2:11" x14ac:dyDescent="0.3">
      <c r="B218" t="str">
        <f>TEXT(Exceptions[[#This Row],[Date]],"MMMM")</f>
        <v>January</v>
      </c>
      <c r="C218" s="145"/>
      <c r="D218" s="135"/>
      <c r="E218" s="135"/>
      <c r="F218" s="102"/>
      <c r="G218" s="102"/>
      <c r="H218" s="102"/>
      <c r="I218" s="42" t="str">
        <f>IF(OR(ISBLANK(Exceptions[[#This Row],[Start]]),ISBLANK(Exceptions[[#This Row],[End]])),"",(Exceptions[[#This Row],[End]]-Exceptions[[#This Row],[Start]])*1440)</f>
        <v/>
      </c>
      <c r="J218" s="42" t="str">
        <f>IF(ISBLANK(Exceptions[[#This Row],[Date]]),"",IF(Exceptions[[#This Row],[Activity]]="Instruction",Exceptions[[#This Row],[Elapsed]],0))</f>
        <v/>
      </c>
      <c r="K218" s="42" t="str">
        <f>IF(ISBLANK(Exceptions[[#This Row],[Activity]]),"",IF(_xlfn.XLOOKUP(Exceptions[[#This Row],[Activity]],Types_of_Activity[Type of Activity],Types_of_Activity[Classification])=2,Exceptions[[#This Row],[Elapsed]],0))</f>
        <v/>
      </c>
    </row>
    <row r="219" spans="2:11" x14ac:dyDescent="0.3">
      <c r="B219" t="str">
        <f>TEXT(Exceptions[[#This Row],[Date]],"MMMM")</f>
        <v>January</v>
      </c>
      <c r="C219" s="145"/>
      <c r="D219" s="135"/>
      <c r="E219" s="135"/>
      <c r="F219" s="102"/>
      <c r="G219" s="102"/>
      <c r="H219" s="102"/>
      <c r="I219" s="42" t="str">
        <f>IF(OR(ISBLANK(Exceptions[[#This Row],[Start]]),ISBLANK(Exceptions[[#This Row],[End]])),"",(Exceptions[[#This Row],[End]]-Exceptions[[#This Row],[Start]])*1440)</f>
        <v/>
      </c>
      <c r="J219" s="42" t="str">
        <f>IF(ISBLANK(Exceptions[[#This Row],[Date]]),"",IF(Exceptions[[#This Row],[Activity]]="Instruction",Exceptions[[#This Row],[Elapsed]],0))</f>
        <v/>
      </c>
      <c r="K219" s="42" t="str">
        <f>IF(ISBLANK(Exceptions[[#This Row],[Activity]]),"",IF(_xlfn.XLOOKUP(Exceptions[[#This Row],[Activity]],Types_of_Activity[Type of Activity],Types_of_Activity[Classification])=2,Exceptions[[#This Row],[Elapsed]],0))</f>
        <v/>
      </c>
    </row>
    <row r="220" spans="2:11" x14ac:dyDescent="0.3">
      <c r="B220" t="str">
        <f>TEXT(Exceptions[[#This Row],[Date]],"MMMM")</f>
        <v>January</v>
      </c>
      <c r="C220" s="145"/>
      <c r="D220" s="135"/>
      <c r="E220" s="135"/>
      <c r="F220" s="102"/>
      <c r="G220" s="102"/>
      <c r="H220" s="102"/>
      <c r="I220" s="42" t="str">
        <f>IF(OR(ISBLANK(Exceptions[[#This Row],[Start]]),ISBLANK(Exceptions[[#This Row],[End]])),"",(Exceptions[[#This Row],[End]]-Exceptions[[#This Row],[Start]])*1440)</f>
        <v/>
      </c>
      <c r="J220" s="42" t="str">
        <f>IF(ISBLANK(Exceptions[[#This Row],[Date]]),"",IF(Exceptions[[#This Row],[Activity]]="Instruction",Exceptions[[#This Row],[Elapsed]],0))</f>
        <v/>
      </c>
      <c r="K220" s="42" t="str">
        <f>IF(ISBLANK(Exceptions[[#This Row],[Activity]]),"",IF(_xlfn.XLOOKUP(Exceptions[[#This Row],[Activity]],Types_of_Activity[Type of Activity],Types_of_Activity[Classification])=2,Exceptions[[#This Row],[Elapsed]],0))</f>
        <v/>
      </c>
    </row>
    <row r="221" spans="2:11" x14ac:dyDescent="0.3">
      <c r="B221" t="str">
        <f>TEXT(Exceptions[[#This Row],[Date]],"MMMM")</f>
        <v>January</v>
      </c>
      <c r="C221" s="145"/>
      <c r="D221" s="135"/>
      <c r="E221" s="135"/>
      <c r="F221" s="102"/>
      <c r="G221" s="102"/>
      <c r="H221" s="102"/>
      <c r="I221" s="42" t="str">
        <f>IF(OR(ISBLANK(Exceptions[[#This Row],[Start]]),ISBLANK(Exceptions[[#This Row],[End]])),"",(Exceptions[[#This Row],[End]]-Exceptions[[#This Row],[Start]])*1440)</f>
        <v/>
      </c>
      <c r="J221" s="42" t="str">
        <f>IF(ISBLANK(Exceptions[[#This Row],[Date]]),"",IF(Exceptions[[#This Row],[Activity]]="Instruction",Exceptions[[#This Row],[Elapsed]],0))</f>
        <v/>
      </c>
      <c r="K221" s="42" t="str">
        <f>IF(ISBLANK(Exceptions[[#This Row],[Activity]]),"",IF(_xlfn.XLOOKUP(Exceptions[[#This Row],[Activity]],Types_of_Activity[Type of Activity],Types_of_Activity[Classification])=2,Exceptions[[#This Row],[Elapsed]],0))</f>
        <v/>
      </c>
    </row>
    <row r="222" spans="2:11" x14ac:dyDescent="0.3">
      <c r="B222" t="str">
        <f>TEXT(Exceptions[[#This Row],[Date]],"MMMM")</f>
        <v>January</v>
      </c>
      <c r="C222" s="145"/>
      <c r="D222" s="135"/>
      <c r="E222" s="135"/>
      <c r="F222" s="102"/>
      <c r="G222" s="102"/>
      <c r="H222" s="102"/>
      <c r="I222" s="42" t="str">
        <f>IF(OR(ISBLANK(Exceptions[[#This Row],[Start]]),ISBLANK(Exceptions[[#This Row],[End]])),"",(Exceptions[[#This Row],[End]]-Exceptions[[#This Row],[Start]])*1440)</f>
        <v/>
      </c>
      <c r="J222" s="42" t="str">
        <f>IF(ISBLANK(Exceptions[[#This Row],[Date]]),"",IF(Exceptions[[#This Row],[Activity]]="Instruction",Exceptions[[#This Row],[Elapsed]],0))</f>
        <v/>
      </c>
      <c r="K222" s="42" t="str">
        <f>IF(ISBLANK(Exceptions[[#This Row],[Activity]]),"",IF(_xlfn.XLOOKUP(Exceptions[[#This Row],[Activity]],Types_of_Activity[Type of Activity],Types_of_Activity[Classification])=2,Exceptions[[#This Row],[Elapsed]],0))</f>
        <v/>
      </c>
    </row>
    <row r="223" spans="2:11" x14ac:dyDescent="0.3">
      <c r="B223" t="str">
        <f>TEXT(Exceptions[[#This Row],[Date]],"MMMM")</f>
        <v>January</v>
      </c>
      <c r="C223" s="145"/>
      <c r="D223" s="135"/>
      <c r="E223" s="135"/>
      <c r="F223" s="102"/>
      <c r="G223" s="102"/>
      <c r="H223" s="102"/>
      <c r="I223" s="42" t="str">
        <f>IF(OR(ISBLANK(Exceptions[[#This Row],[Start]]),ISBLANK(Exceptions[[#This Row],[End]])),"",(Exceptions[[#This Row],[End]]-Exceptions[[#This Row],[Start]])*1440)</f>
        <v/>
      </c>
      <c r="J223" s="42" t="str">
        <f>IF(ISBLANK(Exceptions[[#This Row],[Date]]),"",IF(Exceptions[[#This Row],[Activity]]="Instruction",Exceptions[[#This Row],[Elapsed]],0))</f>
        <v/>
      </c>
      <c r="K223" s="42" t="str">
        <f>IF(ISBLANK(Exceptions[[#This Row],[Activity]]),"",IF(_xlfn.XLOOKUP(Exceptions[[#This Row],[Activity]],Types_of_Activity[Type of Activity],Types_of_Activity[Classification])=2,Exceptions[[#This Row],[Elapsed]],0))</f>
        <v/>
      </c>
    </row>
    <row r="224" spans="2:11" x14ac:dyDescent="0.3">
      <c r="B224" t="str">
        <f>TEXT(Exceptions[[#This Row],[Date]],"MMMM")</f>
        <v>January</v>
      </c>
      <c r="C224" s="145"/>
      <c r="D224" s="135"/>
      <c r="E224" s="135"/>
      <c r="F224" s="102"/>
      <c r="G224" s="102"/>
      <c r="H224" s="102"/>
      <c r="I224" s="42" t="str">
        <f>IF(OR(ISBLANK(Exceptions[[#This Row],[Start]]),ISBLANK(Exceptions[[#This Row],[End]])),"",(Exceptions[[#This Row],[End]]-Exceptions[[#This Row],[Start]])*1440)</f>
        <v/>
      </c>
      <c r="J224" s="42" t="str">
        <f>IF(ISBLANK(Exceptions[[#This Row],[Date]]),"",IF(Exceptions[[#This Row],[Activity]]="Instruction",Exceptions[[#This Row],[Elapsed]],0))</f>
        <v/>
      </c>
      <c r="K224" s="42" t="str">
        <f>IF(ISBLANK(Exceptions[[#This Row],[Activity]]),"",IF(_xlfn.XLOOKUP(Exceptions[[#This Row],[Activity]],Types_of_Activity[Type of Activity],Types_of_Activity[Classification])=2,Exceptions[[#This Row],[Elapsed]],0))</f>
        <v/>
      </c>
    </row>
    <row r="225" spans="2:11" x14ac:dyDescent="0.3">
      <c r="B225" t="str">
        <f>TEXT(Exceptions[[#This Row],[Date]],"MMMM")</f>
        <v>January</v>
      </c>
      <c r="C225" s="145"/>
      <c r="D225" s="135"/>
      <c r="E225" s="135"/>
      <c r="F225" s="102"/>
      <c r="G225" s="102"/>
      <c r="H225" s="102"/>
      <c r="I225" s="42" t="str">
        <f>IF(OR(ISBLANK(Exceptions[[#This Row],[Start]]),ISBLANK(Exceptions[[#This Row],[End]])),"",(Exceptions[[#This Row],[End]]-Exceptions[[#This Row],[Start]])*1440)</f>
        <v/>
      </c>
      <c r="J225" s="42" t="str">
        <f>IF(ISBLANK(Exceptions[[#This Row],[Date]]),"",IF(Exceptions[[#This Row],[Activity]]="Instruction",Exceptions[[#This Row],[Elapsed]],0))</f>
        <v/>
      </c>
      <c r="K225" s="42" t="str">
        <f>IF(ISBLANK(Exceptions[[#This Row],[Activity]]),"",IF(_xlfn.XLOOKUP(Exceptions[[#This Row],[Activity]],Types_of_Activity[Type of Activity],Types_of_Activity[Classification])=2,Exceptions[[#This Row],[Elapsed]],0))</f>
        <v/>
      </c>
    </row>
    <row r="226" spans="2:11" x14ac:dyDescent="0.3">
      <c r="B226" t="str">
        <f>TEXT(Exceptions[[#This Row],[Date]],"MMMM")</f>
        <v>January</v>
      </c>
      <c r="C226" s="145"/>
      <c r="D226" s="135"/>
      <c r="E226" s="135"/>
      <c r="F226" s="102"/>
      <c r="G226" s="102"/>
      <c r="H226" s="102"/>
      <c r="I226" s="42" t="str">
        <f>IF(OR(ISBLANK(Exceptions[[#This Row],[Start]]),ISBLANK(Exceptions[[#This Row],[End]])),"",(Exceptions[[#This Row],[End]]-Exceptions[[#This Row],[Start]])*1440)</f>
        <v/>
      </c>
      <c r="J226" s="42" t="str">
        <f>IF(ISBLANK(Exceptions[[#This Row],[Date]]),"",IF(Exceptions[[#This Row],[Activity]]="Instruction",Exceptions[[#This Row],[Elapsed]],0))</f>
        <v/>
      </c>
      <c r="K226" s="42" t="str">
        <f>IF(ISBLANK(Exceptions[[#This Row],[Activity]]),"",IF(_xlfn.XLOOKUP(Exceptions[[#This Row],[Activity]],Types_of_Activity[Type of Activity],Types_of_Activity[Classification])=2,Exceptions[[#This Row],[Elapsed]],0))</f>
        <v/>
      </c>
    </row>
    <row r="227" spans="2:11" x14ac:dyDescent="0.3">
      <c r="B227" t="str">
        <f>TEXT(Exceptions[[#This Row],[Date]],"MMMM")</f>
        <v>January</v>
      </c>
      <c r="C227" s="145"/>
      <c r="D227" s="135"/>
      <c r="E227" s="135"/>
      <c r="F227" s="102"/>
      <c r="G227" s="102"/>
      <c r="H227" s="102"/>
      <c r="I227" s="42" t="str">
        <f>IF(OR(ISBLANK(Exceptions[[#This Row],[Start]]),ISBLANK(Exceptions[[#This Row],[End]])),"",(Exceptions[[#This Row],[End]]-Exceptions[[#This Row],[Start]])*1440)</f>
        <v/>
      </c>
      <c r="J227" s="42" t="str">
        <f>IF(ISBLANK(Exceptions[[#This Row],[Date]]),"",IF(Exceptions[[#This Row],[Activity]]="Instruction",Exceptions[[#This Row],[Elapsed]],0))</f>
        <v/>
      </c>
      <c r="K227" s="42" t="str">
        <f>IF(ISBLANK(Exceptions[[#This Row],[Activity]]),"",IF(_xlfn.XLOOKUP(Exceptions[[#This Row],[Activity]],Types_of_Activity[Type of Activity],Types_of_Activity[Classification])=2,Exceptions[[#This Row],[Elapsed]],0))</f>
        <v/>
      </c>
    </row>
    <row r="228" spans="2:11" x14ac:dyDescent="0.3">
      <c r="B228" t="str">
        <f>TEXT(Exceptions[[#This Row],[Date]],"MMMM")</f>
        <v>January</v>
      </c>
      <c r="C228" s="145"/>
      <c r="D228" s="135"/>
      <c r="E228" s="135"/>
      <c r="F228" s="102"/>
      <c r="G228" s="102"/>
      <c r="H228" s="102"/>
      <c r="I228" s="42" t="str">
        <f>IF(OR(ISBLANK(Exceptions[[#This Row],[Start]]),ISBLANK(Exceptions[[#This Row],[End]])),"",(Exceptions[[#This Row],[End]]-Exceptions[[#This Row],[Start]])*1440)</f>
        <v/>
      </c>
      <c r="J228" s="42" t="str">
        <f>IF(ISBLANK(Exceptions[[#This Row],[Date]]),"",IF(Exceptions[[#This Row],[Activity]]="Instruction",Exceptions[[#This Row],[Elapsed]],0))</f>
        <v/>
      </c>
      <c r="K228" s="42" t="str">
        <f>IF(ISBLANK(Exceptions[[#This Row],[Activity]]),"",IF(_xlfn.XLOOKUP(Exceptions[[#This Row],[Activity]],Types_of_Activity[Type of Activity],Types_of_Activity[Classification])=2,Exceptions[[#This Row],[Elapsed]],0))</f>
        <v/>
      </c>
    </row>
    <row r="229" spans="2:11" x14ac:dyDescent="0.3">
      <c r="B229" t="str">
        <f>TEXT(Exceptions[[#This Row],[Date]],"MMMM")</f>
        <v>January</v>
      </c>
      <c r="C229" s="145"/>
      <c r="D229" s="135"/>
      <c r="E229" s="135"/>
      <c r="F229" s="102"/>
      <c r="G229" s="102"/>
      <c r="H229" s="102"/>
      <c r="I229" s="42" t="str">
        <f>IF(OR(ISBLANK(Exceptions[[#This Row],[Start]]),ISBLANK(Exceptions[[#This Row],[End]])),"",(Exceptions[[#This Row],[End]]-Exceptions[[#This Row],[Start]])*1440)</f>
        <v/>
      </c>
      <c r="J229" s="42" t="str">
        <f>IF(ISBLANK(Exceptions[[#This Row],[Date]]),"",IF(Exceptions[[#This Row],[Activity]]="Instruction",Exceptions[[#This Row],[Elapsed]],0))</f>
        <v/>
      </c>
      <c r="K229" s="42" t="str">
        <f>IF(ISBLANK(Exceptions[[#This Row],[Activity]]),"",IF(_xlfn.XLOOKUP(Exceptions[[#This Row],[Activity]],Types_of_Activity[Type of Activity],Types_of_Activity[Classification])=2,Exceptions[[#This Row],[Elapsed]],0))</f>
        <v/>
      </c>
    </row>
    <row r="230" spans="2:11" x14ac:dyDescent="0.3">
      <c r="B230" t="str">
        <f>TEXT(Exceptions[[#This Row],[Date]],"MMMM")</f>
        <v>January</v>
      </c>
      <c r="C230" s="145"/>
      <c r="D230" s="135"/>
      <c r="E230" s="135"/>
      <c r="F230" s="102"/>
      <c r="G230" s="102"/>
      <c r="H230" s="102"/>
      <c r="I230" s="42" t="str">
        <f>IF(OR(ISBLANK(Exceptions[[#This Row],[Start]]),ISBLANK(Exceptions[[#This Row],[End]])),"",(Exceptions[[#This Row],[End]]-Exceptions[[#This Row],[Start]])*1440)</f>
        <v/>
      </c>
      <c r="J230" s="42" t="str">
        <f>IF(ISBLANK(Exceptions[[#This Row],[Date]]),"",IF(Exceptions[[#This Row],[Activity]]="Instruction",Exceptions[[#This Row],[Elapsed]],0))</f>
        <v/>
      </c>
      <c r="K230" s="42" t="str">
        <f>IF(ISBLANK(Exceptions[[#This Row],[Activity]]),"",IF(_xlfn.XLOOKUP(Exceptions[[#This Row],[Activity]],Types_of_Activity[Type of Activity],Types_of_Activity[Classification])=2,Exceptions[[#This Row],[Elapsed]],0))</f>
        <v/>
      </c>
    </row>
    <row r="231" spans="2:11" x14ac:dyDescent="0.3">
      <c r="B231" t="str">
        <f>TEXT(Exceptions[[#This Row],[Date]],"MMMM")</f>
        <v>January</v>
      </c>
      <c r="C231" s="145"/>
      <c r="D231" s="135"/>
      <c r="E231" s="135"/>
      <c r="F231" s="102"/>
      <c r="G231" s="102"/>
      <c r="H231" s="102"/>
      <c r="I231" s="42" t="str">
        <f>IF(OR(ISBLANK(Exceptions[[#This Row],[Start]]),ISBLANK(Exceptions[[#This Row],[End]])),"",(Exceptions[[#This Row],[End]]-Exceptions[[#This Row],[Start]])*1440)</f>
        <v/>
      </c>
      <c r="J231" s="42" t="str">
        <f>IF(ISBLANK(Exceptions[[#This Row],[Date]]),"",IF(Exceptions[[#This Row],[Activity]]="Instruction",Exceptions[[#This Row],[Elapsed]],0))</f>
        <v/>
      </c>
      <c r="K231" s="42" t="str">
        <f>IF(ISBLANK(Exceptions[[#This Row],[Activity]]),"",IF(_xlfn.XLOOKUP(Exceptions[[#This Row],[Activity]],Types_of_Activity[Type of Activity],Types_of_Activity[Classification])=2,Exceptions[[#This Row],[Elapsed]],0))</f>
        <v/>
      </c>
    </row>
    <row r="232" spans="2:11" x14ac:dyDescent="0.3">
      <c r="B232" t="str">
        <f>TEXT(Exceptions[[#This Row],[Date]],"MMMM")</f>
        <v>January</v>
      </c>
      <c r="C232" s="145"/>
      <c r="D232" s="135"/>
      <c r="E232" s="135"/>
      <c r="F232" s="102"/>
      <c r="G232" s="102"/>
      <c r="H232" s="102"/>
      <c r="I232" s="42" t="str">
        <f>IF(OR(ISBLANK(Exceptions[[#This Row],[Start]]),ISBLANK(Exceptions[[#This Row],[End]])),"",(Exceptions[[#This Row],[End]]-Exceptions[[#This Row],[Start]])*1440)</f>
        <v/>
      </c>
      <c r="J232" s="42" t="str">
        <f>IF(ISBLANK(Exceptions[[#This Row],[Date]]),"",IF(Exceptions[[#This Row],[Activity]]="Instruction",Exceptions[[#This Row],[Elapsed]],0))</f>
        <v/>
      </c>
      <c r="K232" s="42" t="str">
        <f>IF(ISBLANK(Exceptions[[#This Row],[Activity]]),"",IF(_xlfn.XLOOKUP(Exceptions[[#This Row],[Activity]],Types_of_Activity[Type of Activity],Types_of_Activity[Classification])=2,Exceptions[[#This Row],[Elapsed]],0))</f>
        <v/>
      </c>
    </row>
    <row r="233" spans="2:11" x14ac:dyDescent="0.3">
      <c r="B233" t="str">
        <f>TEXT(Exceptions[[#This Row],[Date]],"MMMM")</f>
        <v>January</v>
      </c>
      <c r="C233" s="145"/>
      <c r="D233" s="135"/>
      <c r="E233" s="135"/>
      <c r="F233" s="102"/>
      <c r="G233" s="102"/>
      <c r="H233" s="102"/>
      <c r="I233" s="42" t="str">
        <f>IF(OR(ISBLANK(Exceptions[[#This Row],[Start]]),ISBLANK(Exceptions[[#This Row],[End]])),"",(Exceptions[[#This Row],[End]]-Exceptions[[#This Row],[Start]])*1440)</f>
        <v/>
      </c>
      <c r="J233" s="42" t="str">
        <f>IF(ISBLANK(Exceptions[[#This Row],[Date]]),"",IF(Exceptions[[#This Row],[Activity]]="Instruction",Exceptions[[#This Row],[Elapsed]],0))</f>
        <v/>
      </c>
      <c r="K233" s="42" t="str">
        <f>IF(ISBLANK(Exceptions[[#This Row],[Activity]]),"",IF(_xlfn.XLOOKUP(Exceptions[[#This Row],[Activity]],Types_of_Activity[Type of Activity],Types_of_Activity[Classification])=2,Exceptions[[#This Row],[Elapsed]],0))</f>
        <v/>
      </c>
    </row>
    <row r="234" spans="2:11" x14ac:dyDescent="0.3">
      <c r="B234" t="str">
        <f>TEXT(Exceptions[[#This Row],[Date]],"MMMM")</f>
        <v>January</v>
      </c>
      <c r="C234" s="145"/>
      <c r="D234" s="135"/>
      <c r="E234" s="135"/>
      <c r="F234" s="102"/>
      <c r="G234" s="102"/>
      <c r="H234" s="102"/>
      <c r="I234" s="42" t="str">
        <f>IF(OR(ISBLANK(Exceptions[[#This Row],[Start]]),ISBLANK(Exceptions[[#This Row],[End]])),"",(Exceptions[[#This Row],[End]]-Exceptions[[#This Row],[Start]])*1440)</f>
        <v/>
      </c>
      <c r="J234" s="42" t="str">
        <f>IF(ISBLANK(Exceptions[[#This Row],[Date]]),"",IF(Exceptions[[#This Row],[Activity]]="Instruction",Exceptions[[#This Row],[Elapsed]],0))</f>
        <v/>
      </c>
      <c r="K234" s="42" t="str">
        <f>IF(ISBLANK(Exceptions[[#This Row],[Activity]]),"",IF(_xlfn.XLOOKUP(Exceptions[[#This Row],[Activity]],Types_of_Activity[Type of Activity],Types_of_Activity[Classification])=2,Exceptions[[#This Row],[Elapsed]],0))</f>
        <v/>
      </c>
    </row>
    <row r="235" spans="2:11" x14ac:dyDescent="0.3">
      <c r="B235" t="str">
        <f>TEXT(Exceptions[[#This Row],[Date]],"MMMM")</f>
        <v>January</v>
      </c>
      <c r="C235" s="145"/>
      <c r="D235" s="135"/>
      <c r="E235" s="135"/>
      <c r="F235" s="102"/>
      <c r="G235" s="102"/>
      <c r="H235" s="102"/>
      <c r="I235" s="42" t="str">
        <f>IF(OR(ISBLANK(Exceptions[[#This Row],[Start]]),ISBLANK(Exceptions[[#This Row],[End]])),"",(Exceptions[[#This Row],[End]]-Exceptions[[#This Row],[Start]])*1440)</f>
        <v/>
      </c>
      <c r="J235" s="42" t="str">
        <f>IF(ISBLANK(Exceptions[[#This Row],[Date]]),"",IF(Exceptions[[#This Row],[Activity]]="Instruction",Exceptions[[#This Row],[Elapsed]],0))</f>
        <v/>
      </c>
      <c r="K235" s="42" t="str">
        <f>IF(ISBLANK(Exceptions[[#This Row],[Activity]]),"",IF(_xlfn.XLOOKUP(Exceptions[[#This Row],[Activity]],Types_of_Activity[Type of Activity],Types_of_Activity[Classification])=2,Exceptions[[#This Row],[Elapsed]],0))</f>
        <v/>
      </c>
    </row>
    <row r="236" spans="2:11" x14ac:dyDescent="0.3">
      <c r="B236" t="str">
        <f>TEXT(Exceptions[[#This Row],[Date]],"MMMM")</f>
        <v>January</v>
      </c>
      <c r="C236" s="145"/>
      <c r="D236" s="135"/>
      <c r="E236" s="135"/>
      <c r="F236" s="102"/>
      <c r="G236" s="102"/>
      <c r="H236" s="102"/>
      <c r="I236" s="42" t="str">
        <f>IF(OR(ISBLANK(Exceptions[[#This Row],[Start]]),ISBLANK(Exceptions[[#This Row],[End]])),"",(Exceptions[[#This Row],[End]]-Exceptions[[#This Row],[Start]])*1440)</f>
        <v/>
      </c>
      <c r="J236" s="42" t="str">
        <f>IF(ISBLANK(Exceptions[[#This Row],[Date]]),"",IF(Exceptions[[#This Row],[Activity]]="Instruction",Exceptions[[#This Row],[Elapsed]],0))</f>
        <v/>
      </c>
      <c r="K236" s="42" t="str">
        <f>IF(ISBLANK(Exceptions[[#This Row],[Activity]]),"",IF(_xlfn.XLOOKUP(Exceptions[[#This Row],[Activity]],Types_of_Activity[Type of Activity],Types_of_Activity[Classification])=2,Exceptions[[#This Row],[Elapsed]],0))</f>
        <v/>
      </c>
    </row>
    <row r="237" spans="2:11" x14ac:dyDescent="0.3">
      <c r="B237" t="str">
        <f>TEXT(Exceptions[[#This Row],[Date]],"MMMM")</f>
        <v>January</v>
      </c>
      <c r="C237" s="145"/>
      <c r="D237" s="135"/>
      <c r="E237" s="135"/>
      <c r="F237" s="102"/>
      <c r="G237" s="102"/>
      <c r="H237" s="102"/>
      <c r="I237" s="42" t="str">
        <f>IF(OR(ISBLANK(Exceptions[[#This Row],[Start]]),ISBLANK(Exceptions[[#This Row],[End]])),"",(Exceptions[[#This Row],[End]]-Exceptions[[#This Row],[Start]])*1440)</f>
        <v/>
      </c>
      <c r="J237" s="42" t="str">
        <f>IF(ISBLANK(Exceptions[[#This Row],[Date]]),"",IF(Exceptions[[#This Row],[Activity]]="Instruction",Exceptions[[#This Row],[Elapsed]],0))</f>
        <v/>
      </c>
      <c r="K237" s="42" t="str">
        <f>IF(ISBLANK(Exceptions[[#This Row],[Activity]]),"",IF(_xlfn.XLOOKUP(Exceptions[[#This Row],[Activity]],Types_of_Activity[Type of Activity],Types_of_Activity[Classification])=2,Exceptions[[#This Row],[Elapsed]],0))</f>
        <v/>
      </c>
    </row>
    <row r="238" spans="2:11" x14ac:dyDescent="0.3">
      <c r="B238" t="str">
        <f>TEXT(Exceptions[[#This Row],[Date]],"MMMM")</f>
        <v>January</v>
      </c>
      <c r="C238" s="145"/>
      <c r="D238" s="135"/>
      <c r="E238" s="135"/>
      <c r="F238" s="102"/>
      <c r="G238" s="102"/>
      <c r="H238" s="102"/>
      <c r="I238" s="42" t="str">
        <f>IF(OR(ISBLANK(Exceptions[[#This Row],[Start]]),ISBLANK(Exceptions[[#This Row],[End]])),"",(Exceptions[[#This Row],[End]]-Exceptions[[#This Row],[Start]])*1440)</f>
        <v/>
      </c>
      <c r="J238" s="42" t="str">
        <f>IF(ISBLANK(Exceptions[[#This Row],[Date]]),"",IF(Exceptions[[#This Row],[Activity]]="Instruction",Exceptions[[#This Row],[Elapsed]],0))</f>
        <v/>
      </c>
      <c r="K238" s="42" t="str">
        <f>IF(ISBLANK(Exceptions[[#This Row],[Activity]]),"",IF(_xlfn.XLOOKUP(Exceptions[[#This Row],[Activity]],Types_of_Activity[Type of Activity],Types_of_Activity[Classification])=2,Exceptions[[#This Row],[Elapsed]],0))</f>
        <v/>
      </c>
    </row>
    <row r="239" spans="2:11" x14ac:dyDescent="0.3">
      <c r="B239" t="str">
        <f>TEXT(Exceptions[[#This Row],[Date]],"MMMM")</f>
        <v>January</v>
      </c>
      <c r="C239" s="145"/>
      <c r="D239" s="135"/>
      <c r="E239" s="135"/>
      <c r="F239" s="102"/>
      <c r="G239" s="102"/>
      <c r="H239" s="102"/>
      <c r="I239" s="42" t="str">
        <f>IF(OR(ISBLANK(Exceptions[[#This Row],[Start]]),ISBLANK(Exceptions[[#This Row],[End]])),"",(Exceptions[[#This Row],[End]]-Exceptions[[#This Row],[Start]])*1440)</f>
        <v/>
      </c>
      <c r="J239" s="42" t="str">
        <f>IF(ISBLANK(Exceptions[[#This Row],[Date]]),"",IF(Exceptions[[#This Row],[Activity]]="Instruction",Exceptions[[#This Row],[Elapsed]],0))</f>
        <v/>
      </c>
      <c r="K239" s="42" t="str">
        <f>IF(ISBLANK(Exceptions[[#This Row],[Activity]]),"",IF(_xlfn.XLOOKUP(Exceptions[[#This Row],[Activity]],Types_of_Activity[Type of Activity],Types_of_Activity[Classification])=2,Exceptions[[#This Row],[Elapsed]],0))</f>
        <v/>
      </c>
    </row>
    <row r="240" spans="2:11" x14ac:dyDescent="0.3">
      <c r="B240" t="str">
        <f>TEXT(Exceptions[[#This Row],[Date]],"MMMM")</f>
        <v>January</v>
      </c>
      <c r="C240" s="145"/>
      <c r="D240" s="135"/>
      <c r="E240" s="135"/>
      <c r="F240" s="102"/>
      <c r="G240" s="102"/>
      <c r="H240" s="102"/>
      <c r="I240" s="42" t="str">
        <f>IF(OR(ISBLANK(Exceptions[[#This Row],[Start]]),ISBLANK(Exceptions[[#This Row],[End]])),"",(Exceptions[[#This Row],[End]]-Exceptions[[#This Row],[Start]])*1440)</f>
        <v/>
      </c>
      <c r="J240" s="42" t="str">
        <f>IF(ISBLANK(Exceptions[[#This Row],[Date]]),"",IF(Exceptions[[#This Row],[Activity]]="Instruction",Exceptions[[#This Row],[Elapsed]],0))</f>
        <v/>
      </c>
      <c r="K240" s="42" t="str">
        <f>IF(ISBLANK(Exceptions[[#This Row],[Activity]]),"",IF(_xlfn.XLOOKUP(Exceptions[[#This Row],[Activity]],Types_of_Activity[Type of Activity],Types_of_Activity[Classification])=2,Exceptions[[#This Row],[Elapsed]],0))</f>
        <v/>
      </c>
    </row>
    <row r="241" spans="2:11" x14ac:dyDescent="0.3">
      <c r="B241" t="str">
        <f>TEXT(Exceptions[[#This Row],[Date]],"MMMM")</f>
        <v>January</v>
      </c>
      <c r="C241" s="145"/>
      <c r="D241" s="135"/>
      <c r="E241" s="135"/>
      <c r="F241" s="102"/>
      <c r="G241" s="102"/>
      <c r="H241" s="102"/>
      <c r="I241" s="42" t="str">
        <f>IF(OR(ISBLANK(Exceptions[[#This Row],[Start]]),ISBLANK(Exceptions[[#This Row],[End]])),"",(Exceptions[[#This Row],[End]]-Exceptions[[#This Row],[Start]])*1440)</f>
        <v/>
      </c>
      <c r="J241" s="42" t="str">
        <f>IF(ISBLANK(Exceptions[[#This Row],[Date]]),"",IF(Exceptions[[#This Row],[Activity]]="Instruction",Exceptions[[#This Row],[Elapsed]],0))</f>
        <v/>
      </c>
      <c r="K241" s="42" t="str">
        <f>IF(ISBLANK(Exceptions[[#This Row],[Activity]]),"",IF(_xlfn.XLOOKUP(Exceptions[[#This Row],[Activity]],Types_of_Activity[Type of Activity],Types_of_Activity[Classification])=2,Exceptions[[#This Row],[Elapsed]],0))</f>
        <v/>
      </c>
    </row>
    <row r="242" spans="2:11" x14ac:dyDescent="0.3">
      <c r="B242" t="str">
        <f>TEXT(Exceptions[[#This Row],[Date]],"MMMM")</f>
        <v>January</v>
      </c>
      <c r="C242" s="145"/>
      <c r="D242" s="135"/>
      <c r="E242" s="135"/>
      <c r="F242" s="102"/>
      <c r="G242" s="102"/>
      <c r="H242" s="102"/>
      <c r="I242" s="42" t="str">
        <f>IF(OR(ISBLANK(Exceptions[[#This Row],[Start]]),ISBLANK(Exceptions[[#This Row],[End]])),"",(Exceptions[[#This Row],[End]]-Exceptions[[#This Row],[Start]])*1440)</f>
        <v/>
      </c>
      <c r="J242" s="42" t="str">
        <f>IF(ISBLANK(Exceptions[[#This Row],[Date]]),"",IF(Exceptions[[#This Row],[Activity]]="Instruction",Exceptions[[#This Row],[Elapsed]],0))</f>
        <v/>
      </c>
      <c r="K242" s="42" t="str">
        <f>IF(ISBLANK(Exceptions[[#This Row],[Activity]]),"",IF(_xlfn.XLOOKUP(Exceptions[[#This Row],[Activity]],Types_of_Activity[Type of Activity],Types_of_Activity[Classification])=2,Exceptions[[#This Row],[Elapsed]],0))</f>
        <v/>
      </c>
    </row>
    <row r="243" spans="2:11" x14ac:dyDescent="0.3">
      <c r="B243" t="str">
        <f>TEXT(Exceptions[[#This Row],[Date]],"MMMM")</f>
        <v>January</v>
      </c>
      <c r="C243" s="145"/>
      <c r="D243" s="135"/>
      <c r="E243" s="135"/>
      <c r="F243" s="102"/>
      <c r="G243" s="102"/>
      <c r="H243" s="102"/>
      <c r="I243" s="42" t="str">
        <f>IF(OR(ISBLANK(Exceptions[[#This Row],[Start]]),ISBLANK(Exceptions[[#This Row],[End]])),"",(Exceptions[[#This Row],[End]]-Exceptions[[#This Row],[Start]])*1440)</f>
        <v/>
      </c>
      <c r="J243" s="42" t="str">
        <f>IF(ISBLANK(Exceptions[[#This Row],[Date]]),"",IF(Exceptions[[#This Row],[Activity]]="Instruction",Exceptions[[#This Row],[Elapsed]],0))</f>
        <v/>
      </c>
      <c r="K243" s="42" t="str">
        <f>IF(ISBLANK(Exceptions[[#This Row],[Activity]]),"",IF(_xlfn.XLOOKUP(Exceptions[[#This Row],[Activity]],Types_of_Activity[Type of Activity],Types_of_Activity[Classification])=2,Exceptions[[#This Row],[Elapsed]],0))</f>
        <v/>
      </c>
    </row>
    <row r="244" spans="2:11" x14ac:dyDescent="0.3">
      <c r="B244" t="str">
        <f>TEXT(Exceptions[[#This Row],[Date]],"MMMM")</f>
        <v>January</v>
      </c>
      <c r="C244" s="145"/>
      <c r="D244" s="135"/>
      <c r="E244" s="135"/>
      <c r="F244" s="102"/>
      <c r="G244" s="102"/>
      <c r="H244" s="102"/>
      <c r="I244" s="42" t="str">
        <f>IF(OR(ISBLANK(Exceptions[[#This Row],[Start]]),ISBLANK(Exceptions[[#This Row],[End]])),"",(Exceptions[[#This Row],[End]]-Exceptions[[#This Row],[Start]])*1440)</f>
        <v/>
      </c>
      <c r="J244" s="42" t="str">
        <f>IF(ISBLANK(Exceptions[[#This Row],[Date]]),"",IF(Exceptions[[#This Row],[Activity]]="Instruction",Exceptions[[#This Row],[Elapsed]],0))</f>
        <v/>
      </c>
      <c r="K244" s="42" t="str">
        <f>IF(ISBLANK(Exceptions[[#This Row],[Activity]]),"",IF(_xlfn.XLOOKUP(Exceptions[[#This Row],[Activity]],Types_of_Activity[Type of Activity],Types_of_Activity[Classification])=2,Exceptions[[#This Row],[Elapsed]],0))</f>
        <v/>
      </c>
    </row>
    <row r="245" spans="2:11" x14ac:dyDescent="0.3">
      <c r="B245" t="str">
        <f>TEXT(Exceptions[[#This Row],[Date]],"MMMM")</f>
        <v>January</v>
      </c>
      <c r="C245" s="145"/>
      <c r="D245" s="135"/>
      <c r="E245" s="135"/>
      <c r="F245" s="102"/>
      <c r="G245" s="102"/>
      <c r="H245" s="102"/>
      <c r="I245" s="42" t="str">
        <f>IF(OR(ISBLANK(Exceptions[[#This Row],[Start]]),ISBLANK(Exceptions[[#This Row],[End]])),"",(Exceptions[[#This Row],[End]]-Exceptions[[#This Row],[Start]])*1440)</f>
        <v/>
      </c>
      <c r="J245" s="42" t="str">
        <f>IF(ISBLANK(Exceptions[[#This Row],[Date]]),"",IF(Exceptions[[#This Row],[Activity]]="Instruction",Exceptions[[#This Row],[Elapsed]],0))</f>
        <v/>
      </c>
      <c r="K245" s="42" t="str">
        <f>IF(ISBLANK(Exceptions[[#This Row],[Activity]]),"",IF(_xlfn.XLOOKUP(Exceptions[[#This Row],[Activity]],Types_of_Activity[Type of Activity],Types_of_Activity[Classification])=2,Exceptions[[#This Row],[Elapsed]],0))</f>
        <v/>
      </c>
    </row>
    <row r="246" spans="2:11" x14ac:dyDescent="0.3">
      <c r="B246" t="str">
        <f>TEXT(Exceptions[[#This Row],[Date]],"MMMM")</f>
        <v>January</v>
      </c>
      <c r="C246" s="145"/>
      <c r="D246" s="135"/>
      <c r="E246" s="135"/>
      <c r="F246" s="102"/>
      <c r="G246" s="102"/>
      <c r="H246" s="102"/>
      <c r="I246" s="42" t="str">
        <f>IF(OR(ISBLANK(Exceptions[[#This Row],[Start]]),ISBLANK(Exceptions[[#This Row],[End]])),"",(Exceptions[[#This Row],[End]]-Exceptions[[#This Row],[Start]])*1440)</f>
        <v/>
      </c>
      <c r="J246" s="42" t="str">
        <f>IF(ISBLANK(Exceptions[[#This Row],[Date]]),"",IF(Exceptions[[#This Row],[Activity]]="Instruction",Exceptions[[#This Row],[Elapsed]],0))</f>
        <v/>
      </c>
      <c r="K246" s="42" t="str">
        <f>IF(ISBLANK(Exceptions[[#This Row],[Activity]]),"",IF(_xlfn.XLOOKUP(Exceptions[[#This Row],[Activity]],Types_of_Activity[Type of Activity],Types_of_Activity[Classification])=2,Exceptions[[#This Row],[Elapsed]],0))</f>
        <v/>
      </c>
    </row>
    <row r="247" spans="2:11" x14ac:dyDescent="0.3">
      <c r="B247" t="str">
        <f>TEXT(Exceptions[[#This Row],[Date]],"MMMM")</f>
        <v>January</v>
      </c>
      <c r="C247" s="145"/>
      <c r="D247" s="135"/>
      <c r="E247" s="135"/>
      <c r="F247" s="102"/>
      <c r="G247" s="102"/>
      <c r="H247" s="102"/>
      <c r="I247" s="42" t="str">
        <f>IF(OR(ISBLANK(Exceptions[[#This Row],[Start]]),ISBLANK(Exceptions[[#This Row],[End]])),"",(Exceptions[[#This Row],[End]]-Exceptions[[#This Row],[Start]])*1440)</f>
        <v/>
      </c>
      <c r="J247" s="42" t="str">
        <f>IF(ISBLANK(Exceptions[[#This Row],[Date]]),"",IF(Exceptions[[#This Row],[Activity]]="Instruction",Exceptions[[#This Row],[Elapsed]],0))</f>
        <v/>
      </c>
      <c r="K247" s="42" t="str">
        <f>IF(ISBLANK(Exceptions[[#This Row],[Activity]]),"",IF(_xlfn.XLOOKUP(Exceptions[[#This Row],[Activity]],Types_of_Activity[Type of Activity],Types_of_Activity[Classification])=2,Exceptions[[#This Row],[Elapsed]],0))</f>
        <v/>
      </c>
    </row>
    <row r="248" spans="2:11" x14ac:dyDescent="0.3">
      <c r="B248" t="str">
        <f>TEXT(Exceptions[[#This Row],[Date]],"MMMM")</f>
        <v>January</v>
      </c>
      <c r="C248" s="145"/>
      <c r="D248" s="135"/>
      <c r="E248" s="135"/>
      <c r="F248" s="102"/>
      <c r="G248" s="102"/>
      <c r="H248" s="102"/>
      <c r="I248" s="42" t="str">
        <f>IF(OR(ISBLANK(Exceptions[[#This Row],[Start]]),ISBLANK(Exceptions[[#This Row],[End]])),"",(Exceptions[[#This Row],[End]]-Exceptions[[#This Row],[Start]])*1440)</f>
        <v/>
      </c>
      <c r="J248" s="42" t="str">
        <f>IF(ISBLANK(Exceptions[[#This Row],[Date]]),"",IF(Exceptions[[#This Row],[Activity]]="Instruction",Exceptions[[#This Row],[Elapsed]],0))</f>
        <v/>
      </c>
      <c r="K248" s="42" t="str">
        <f>IF(ISBLANK(Exceptions[[#This Row],[Activity]]),"",IF(_xlfn.XLOOKUP(Exceptions[[#This Row],[Activity]],Types_of_Activity[Type of Activity],Types_of_Activity[Classification])=2,Exceptions[[#This Row],[Elapsed]],0))</f>
        <v/>
      </c>
    </row>
    <row r="249" spans="2:11" x14ac:dyDescent="0.3">
      <c r="B249" t="str">
        <f>TEXT(Exceptions[[#This Row],[Date]],"MMMM")</f>
        <v>January</v>
      </c>
      <c r="C249" s="145"/>
      <c r="D249" s="135"/>
      <c r="E249" s="135"/>
      <c r="F249" s="102"/>
      <c r="G249" s="102"/>
      <c r="H249" s="102"/>
      <c r="I249" s="42" t="str">
        <f>IF(OR(ISBLANK(Exceptions[[#This Row],[Start]]),ISBLANK(Exceptions[[#This Row],[End]])),"",(Exceptions[[#This Row],[End]]-Exceptions[[#This Row],[Start]])*1440)</f>
        <v/>
      </c>
      <c r="J249" s="42" t="str">
        <f>IF(ISBLANK(Exceptions[[#This Row],[Date]]),"",IF(Exceptions[[#This Row],[Activity]]="Instruction",Exceptions[[#This Row],[Elapsed]],0))</f>
        <v/>
      </c>
      <c r="K249" s="42" t="str">
        <f>IF(ISBLANK(Exceptions[[#This Row],[Activity]]),"",IF(_xlfn.XLOOKUP(Exceptions[[#This Row],[Activity]],Types_of_Activity[Type of Activity],Types_of_Activity[Classification])=2,Exceptions[[#This Row],[Elapsed]],0))</f>
        <v/>
      </c>
    </row>
    <row r="250" spans="2:11" x14ac:dyDescent="0.3">
      <c r="B250" t="str">
        <f>TEXT(Exceptions[[#This Row],[Date]],"MMMM")</f>
        <v>January</v>
      </c>
      <c r="C250" s="145"/>
      <c r="D250" s="135"/>
      <c r="E250" s="135"/>
      <c r="F250" s="102"/>
      <c r="G250" s="102"/>
      <c r="H250" s="102"/>
      <c r="I250" s="42" t="str">
        <f>IF(OR(ISBLANK(Exceptions[[#This Row],[Start]]),ISBLANK(Exceptions[[#This Row],[End]])),"",(Exceptions[[#This Row],[End]]-Exceptions[[#This Row],[Start]])*1440)</f>
        <v/>
      </c>
      <c r="J250" s="42" t="str">
        <f>IF(ISBLANK(Exceptions[[#This Row],[Date]]),"",IF(Exceptions[[#This Row],[Activity]]="Instruction",Exceptions[[#This Row],[Elapsed]],0))</f>
        <v/>
      </c>
      <c r="K250" s="42" t="str">
        <f>IF(ISBLANK(Exceptions[[#This Row],[Activity]]),"",IF(_xlfn.XLOOKUP(Exceptions[[#This Row],[Activity]],Types_of_Activity[Type of Activity],Types_of_Activity[Classification])=2,Exceptions[[#This Row],[Elapsed]],0))</f>
        <v/>
      </c>
    </row>
    <row r="251" spans="2:11" x14ac:dyDescent="0.3">
      <c r="B251" t="str">
        <f>TEXT(Exceptions[[#This Row],[Date]],"MMMM")</f>
        <v>January</v>
      </c>
      <c r="C251" s="145"/>
      <c r="D251" s="135"/>
      <c r="E251" s="135"/>
      <c r="F251" s="102"/>
      <c r="G251" s="102"/>
      <c r="H251" s="102"/>
      <c r="I251" s="42" t="str">
        <f>IF(OR(ISBLANK(Exceptions[[#This Row],[Start]]),ISBLANK(Exceptions[[#This Row],[End]])),"",(Exceptions[[#This Row],[End]]-Exceptions[[#This Row],[Start]])*1440)</f>
        <v/>
      </c>
      <c r="J251" s="42" t="str">
        <f>IF(ISBLANK(Exceptions[[#This Row],[Date]]),"",IF(Exceptions[[#This Row],[Activity]]="Instruction",Exceptions[[#This Row],[Elapsed]],0))</f>
        <v/>
      </c>
      <c r="K251" s="42" t="str">
        <f>IF(ISBLANK(Exceptions[[#This Row],[Activity]]),"",IF(_xlfn.XLOOKUP(Exceptions[[#This Row],[Activity]],Types_of_Activity[Type of Activity],Types_of_Activity[Classification])=2,Exceptions[[#This Row],[Elapsed]],0))</f>
        <v/>
      </c>
    </row>
    <row r="252" spans="2:11" x14ac:dyDescent="0.3">
      <c r="B252" t="str">
        <f>TEXT(Exceptions[[#This Row],[Date]],"MMMM")</f>
        <v>January</v>
      </c>
      <c r="C252" s="145"/>
      <c r="D252" s="135"/>
      <c r="E252" s="135"/>
      <c r="F252" s="102"/>
      <c r="G252" s="102"/>
      <c r="H252" s="102"/>
      <c r="I252" s="42" t="str">
        <f>IF(OR(ISBLANK(Exceptions[[#This Row],[Start]]),ISBLANK(Exceptions[[#This Row],[End]])),"",(Exceptions[[#This Row],[End]]-Exceptions[[#This Row],[Start]])*1440)</f>
        <v/>
      </c>
      <c r="J252" s="42" t="str">
        <f>IF(ISBLANK(Exceptions[[#This Row],[Date]]),"",IF(Exceptions[[#This Row],[Activity]]="Instruction",Exceptions[[#This Row],[Elapsed]],0))</f>
        <v/>
      </c>
      <c r="K252" s="42" t="str">
        <f>IF(ISBLANK(Exceptions[[#This Row],[Activity]]),"",IF(_xlfn.XLOOKUP(Exceptions[[#This Row],[Activity]],Types_of_Activity[Type of Activity],Types_of_Activity[Classification])=2,Exceptions[[#This Row],[Elapsed]],0))</f>
        <v/>
      </c>
    </row>
    <row r="253" spans="2:11" x14ac:dyDescent="0.3">
      <c r="B253" t="str">
        <f>TEXT(Exceptions[[#This Row],[Date]],"MMMM")</f>
        <v>January</v>
      </c>
      <c r="C253" s="145"/>
      <c r="D253" s="135"/>
      <c r="E253" s="135"/>
      <c r="F253" s="102"/>
      <c r="G253" s="102"/>
      <c r="H253" s="102"/>
      <c r="I253" s="42" t="str">
        <f>IF(OR(ISBLANK(Exceptions[[#This Row],[Start]]),ISBLANK(Exceptions[[#This Row],[End]])),"",(Exceptions[[#This Row],[End]]-Exceptions[[#This Row],[Start]])*1440)</f>
        <v/>
      </c>
      <c r="J253" s="42" t="str">
        <f>IF(ISBLANK(Exceptions[[#This Row],[Date]]),"",IF(Exceptions[[#This Row],[Activity]]="Instruction",Exceptions[[#This Row],[Elapsed]],0))</f>
        <v/>
      </c>
      <c r="K253" s="42" t="str">
        <f>IF(ISBLANK(Exceptions[[#This Row],[Activity]]),"",IF(_xlfn.XLOOKUP(Exceptions[[#This Row],[Activity]],Types_of_Activity[Type of Activity],Types_of_Activity[Classification])=2,Exceptions[[#This Row],[Elapsed]],0))</f>
        <v/>
      </c>
    </row>
    <row r="254" spans="2:11" x14ac:dyDescent="0.3">
      <c r="B254" t="str">
        <f>TEXT(Exceptions[[#This Row],[Date]],"MMMM")</f>
        <v>January</v>
      </c>
      <c r="C254" s="145"/>
      <c r="D254" s="135"/>
      <c r="E254" s="135"/>
      <c r="F254" s="102"/>
      <c r="G254" s="102"/>
      <c r="H254" s="102"/>
      <c r="I254" s="42" t="str">
        <f>IF(OR(ISBLANK(Exceptions[[#This Row],[Start]]),ISBLANK(Exceptions[[#This Row],[End]])),"",(Exceptions[[#This Row],[End]]-Exceptions[[#This Row],[Start]])*1440)</f>
        <v/>
      </c>
      <c r="J254" s="42" t="str">
        <f>IF(ISBLANK(Exceptions[[#This Row],[Date]]),"",IF(Exceptions[[#This Row],[Activity]]="Instruction",Exceptions[[#This Row],[Elapsed]],0))</f>
        <v/>
      </c>
      <c r="K254" s="42" t="str">
        <f>IF(ISBLANK(Exceptions[[#This Row],[Activity]]),"",IF(_xlfn.XLOOKUP(Exceptions[[#This Row],[Activity]],Types_of_Activity[Type of Activity],Types_of_Activity[Classification])=2,Exceptions[[#This Row],[Elapsed]],0))</f>
        <v/>
      </c>
    </row>
    <row r="255" spans="2:11" x14ac:dyDescent="0.3">
      <c r="B255" t="str">
        <f>TEXT(Exceptions[[#This Row],[Date]],"MMMM")</f>
        <v>January</v>
      </c>
      <c r="C255" s="145"/>
      <c r="D255" s="135"/>
      <c r="E255" s="135"/>
      <c r="F255" s="102"/>
      <c r="G255" s="102"/>
      <c r="H255" s="102"/>
      <c r="I255" s="42" t="str">
        <f>IF(OR(ISBLANK(Exceptions[[#This Row],[Start]]),ISBLANK(Exceptions[[#This Row],[End]])),"",(Exceptions[[#This Row],[End]]-Exceptions[[#This Row],[Start]])*1440)</f>
        <v/>
      </c>
      <c r="J255" s="42" t="str">
        <f>IF(ISBLANK(Exceptions[[#This Row],[Date]]),"",IF(Exceptions[[#This Row],[Activity]]="Instruction",Exceptions[[#This Row],[Elapsed]],0))</f>
        <v/>
      </c>
      <c r="K255" s="42" t="str">
        <f>IF(ISBLANK(Exceptions[[#This Row],[Activity]]),"",IF(_xlfn.XLOOKUP(Exceptions[[#This Row],[Activity]],Types_of_Activity[Type of Activity],Types_of_Activity[Classification])=2,Exceptions[[#This Row],[Elapsed]],0))</f>
        <v/>
      </c>
    </row>
    <row r="256" spans="2:11" x14ac:dyDescent="0.3">
      <c r="B256" t="str">
        <f>TEXT(Exceptions[[#This Row],[Date]],"MMMM")</f>
        <v>January</v>
      </c>
      <c r="C256" s="145"/>
      <c r="D256" s="135"/>
      <c r="E256" s="135"/>
      <c r="F256" s="102"/>
      <c r="G256" s="102"/>
      <c r="H256" s="102"/>
      <c r="I256" s="42" t="str">
        <f>IF(OR(ISBLANK(Exceptions[[#This Row],[Start]]),ISBLANK(Exceptions[[#This Row],[End]])),"",(Exceptions[[#This Row],[End]]-Exceptions[[#This Row],[Start]])*1440)</f>
        <v/>
      </c>
      <c r="J256" s="42" t="str">
        <f>IF(ISBLANK(Exceptions[[#This Row],[Date]]),"",IF(Exceptions[[#This Row],[Activity]]="Instruction",Exceptions[[#This Row],[Elapsed]],0))</f>
        <v/>
      </c>
      <c r="K256" s="42" t="str">
        <f>IF(ISBLANK(Exceptions[[#This Row],[Activity]]),"",IF(_xlfn.XLOOKUP(Exceptions[[#This Row],[Activity]],Types_of_Activity[Type of Activity],Types_of_Activity[Classification])=2,Exceptions[[#This Row],[Elapsed]],0))</f>
        <v/>
      </c>
    </row>
    <row r="257" spans="2:11" x14ac:dyDescent="0.3">
      <c r="B257" t="str">
        <f>TEXT(Exceptions[[#This Row],[Date]],"MMMM")</f>
        <v>January</v>
      </c>
      <c r="C257" s="145"/>
      <c r="D257" s="135"/>
      <c r="E257" s="135"/>
      <c r="F257" s="102"/>
      <c r="G257" s="102"/>
      <c r="H257" s="102"/>
      <c r="I257" s="42" t="str">
        <f>IF(OR(ISBLANK(Exceptions[[#This Row],[Start]]),ISBLANK(Exceptions[[#This Row],[End]])),"",(Exceptions[[#This Row],[End]]-Exceptions[[#This Row],[Start]])*1440)</f>
        <v/>
      </c>
      <c r="J257" s="42" t="str">
        <f>IF(ISBLANK(Exceptions[[#This Row],[Date]]),"",IF(Exceptions[[#This Row],[Activity]]="Instruction",Exceptions[[#This Row],[Elapsed]],0))</f>
        <v/>
      </c>
      <c r="K257" s="42" t="str">
        <f>IF(ISBLANK(Exceptions[[#This Row],[Activity]]),"",IF(_xlfn.XLOOKUP(Exceptions[[#This Row],[Activity]],Types_of_Activity[Type of Activity],Types_of_Activity[Classification])=2,Exceptions[[#This Row],[Elapsed]],0))</f>
        <v/>
      </c>
    </row>
    <row r="258" spans="2:11" x14ac:dyDescent="0.3">
      <c r="B258" t="str">
        <f>TEXT(Exceptions[[#This Row],[Date]],"MMMM")</f>
        <v>January</v>
      </c>
      <c r="C258" s="145"/>
      <c r="D258" s="135"/>
      <c r="E258" s="135"/>
      <c r="F258" s="102"/>
      <c r="G258" s="102"/>
      <c r="H258" s="102"/>
      <c r="I258" s="42" t="str">
        <f>IF(OR(ISBLANK(Exceptions[[#This Row],[Start]]),ISBLANK(Exceptions[[#This Row],[End]])),"",(Exceptions[[#This Row],[End]]-Exceptions[[#This Row],[Start]])*1440)</f>
        <v/>
      </c>
      <c r="J258" s="42" t="str">
        <f>IF(ISBLANK(Exceptions[[#This Row],[Date]]),"",IF(Exceptions[[#This Row],[Activity]]="Instruction",Exceptions[[#This Row],[Elapsed]],0))</f>
        <v/>
      </c>
      <c r="K258" s="42" t="str">
        <f>IF(ISBLANK(Exceptions[[#This Row],[Activity]]),"",IF(_xlfn.XLOOKUP(Exceptions[[#This Row],[Activity]],Types_of_Activity[Type of Activity],Types_of_Activity[Classification])=2,Exceptions[[#This Row],[Elapsed]],0))</f>
        <v/>
      </c>
    </row>
    <row r="259" spans="2:11" x14ac:dyDescent="0.3">
      <c r="B259" t="str">
        <f>TEXT(Exceptions[[#This Row],[Date]],"MMMM")</f>
        <v>January</v>
      </c>
      <c r="C259" s="145"/>
      <c r="D259" s="135"/>
      <c r="E259" s="135"/>
      <c r="F259" s="102"/>
      <c r="G259" s="102"/>
      <c r="H259" s="102"/>
      <c r="I259" s="42" t="str">
        <f>IF(OR(ISBLANK(Exceptions[[#This Row],[Start]]),ISBLANK(Exceptions[[#This Row],[End]])),"",(Exceptions[[#This Row],[End]]-Exceptions[[#This Row],[Start]])*1440)</f>
        <v/>
      </c>
      <c r="J259" s="42" t="str">
        <f>IF(ISBLANK(Exceptions[[#This Row],[Date]]),"",IF(Exceptions[[#This Row],[Activity]]="Instruction",Exceptions[[#This Row],[Elapsed]],0))</f>
        <v/>
      </c>
      <c r="K259" s="42" t="str">
        <f>IF(ISBLANK(Exceptions[[#This Row],[Activity]]),"",IF(_xlfn.XLOOKUP(Exceptions[[#This Row],[Activity]],Types_of_Activity[Type of Activity],Types_of_Activity[Classification])=2,Exceptions[[#This Row],[Elapsed]],0))</f>
        <v/>
      </c>
    </row>
    <row r="260" spans="2:11" x14ac:dyDescent="0.3">
      <c r="B260" t="str">
        <f>TEXT(Exceptions[[#This Row],[Date]],"MMMM")</f>
        <v>January</v>
      </c>
      <c r="C260" s="145"/>
      <c r="D260" s="135"/>
      <c r="E260" s="135"/>
      <c r="F260" s="102"/>
      <c r="G260" s="102"/>
      <c r="H260" s="102"/>
      <c r="I260" s="42" t="str">
        <f>IF(OR(ISBLANK(Exceptions[[#This Row],[Start]]),ISBLANK(Exceptions[[#This Row],[End]])),"",(Exceptions[[#This Row],[End]]-Exceptions[[#This Row],[Start]])*1440)</f>
        <v/>
      </c>
      <c r="J260" s="42" t="str">
        <f>IF(ISBLANK(Exceptions[[#This Row],[Date]]),"",IF(Exceptions[[#This Row],[Activity]]="Instruction",Exceptions[[#This Row],[Elapsed]],0))</f>
        <v/>
      </c>
      <c r="K260" s="42" t="str">
        <f>IF(ISBLANK(Exceptions[[#This Row],[Activity]]),"",IF(_xlfn.XLOOKUP(Exceptions[[#This Row],[Activity]],Types_of_Activity[Type of Activity],Types_of_Activity[Classification])=2,Exceptions[[#This Row],[Elapsed]],0))</f>
        <v/>
      </c>
    </row>
    <row r="261" spans="2:11" x14ac:dyDescent="0.3">
      <c r="B261" t="str">
        <f>TEXT(Exceptions[[#This Row],[Date]],"MMMM")</f>
        <v>January</v>
      </c>
      <c r="C261" s="145"/>
      <c r="D261" s="135"/>
      <c r="E261" s="135"/>
      <c r="F261" s="102"/>
      <c r="G261" s="102"/>
      <c r="H261" s="102"/>
      <c r="I261" s="42" t="str">
        <f>IF(OR(ISBLANK(Exceptions[[#This Row],[Start]]),ISBLANK(Exceptions[[#This Row],[End]])),"",(Exceptions[[#This Row],[End]]-Exceptions[[#This Row],[Start]])*1440)</f>
        <v/>
      </c>
      <c r="J261" s="42" t="str">
        <f>IF(ISBLANK(Exceptions[[#This Row],[Date]]),"",IF(Exceptions[[#This Row],[Activity]]="Instruction",Exceptions[[#This Row],[Elapsed]],0))</f>
        <v/>
      </c>
      <c r="K261" s="42" t="str">
        <f>IF(ISBLANK(Exceptions[[#This Row],[Activity]]),"",IF(_xlfn.XLOOKUP(Exceptions[[#This Row],[Activity]],Types_of_Activity[Type of Activity],Types_of_Activity[Classification])=2,Exceptions[[#This Row],[Elapsed]],0))</f>
        <v/>
      </c>
    </row>
    <row r="262" spans="2:11" x14ac:dyDescent="0.3">
      <c r="B262" t="str">
        <f>TEXT(Exceptions[[#This Row],[Date]],"MMMM")</f>
        <v>January</v>
      </c>
      <c r="C262" s="145"/>
      <c r="D262" s="135"/>
      <c r="E262" s="135"/>
      <c r="F262" s="102"/>
      <c r="G262" s="102"/>
      <c r="H262" s="102"/>
      <c r="I262" s="42" t="str">
        <f>IF(OR(ISBLANK(Exceptions[[#This Row],[Start]]),ISBLANK(Exceptions[[#This Row],[End]])),"",(Exceptions[[#This Row],[End]]-Exceptions[[#This Row],[Start]])*1440)</f>
        <v/>
      </c>
      <c r="J262" s="42" t="str">
        <f>IF(ISBLANK(Exceptions[[#This Row],[Date]]),"",IF(Exceptions[[#This Row],[Activity]]="Instruction",Exceptions[[#This Row],[Elapsed]],0))</f>
        <v/>
      </c>
      <c r="K262" s="42" t="str">
        <f>IF(ISBLANK(Exceptions[[#This Row],[Activity]]),"",IF(_xlfn.XLOOKUP(Exceptions[[#This Row],[Activity]],Types_of_Activity[Type of Activity],Types_of_Activity[Classification])=2,Exceptions[[#This Row],[Elapsed]],0))</f>
        <v/>
      </c>
    </row>
    <row r="263" spans="2:11" x14ac:dyDescent="0.3">
      <c r="B263" t="str">
        <f>TEXT(Exceptions[[#This Row],[Date]],"MMMM")</f>
        <v>January</v>
      </c>
      <c r="C263" s="145"/>
      <c r="D263" s="135"/>
      <c r="E263" s="135"/>
      <c r="F263" s="102"/>
      <c r="G263" s="102"/>
      <c r="H263" s="102"/>
      <c r="I263" s="42" t="str">
        <f>IF(OR(ISBLANK(Exceptions[[#This Row],[Start]]),ISBLANK(Exceptions[[#This Row],[End]])),"",(Exceptions[[#This Row],[End]]-Exceptions[[#This Row],[Start]])*1440)</f>
        <v/>
      </c>
      <c r="J263" s="42" t="str">
        <f>IF(ISBLANK(Exceptions[[#This Row],[Date]]),"",IF(Exceptions[[#This Row],[Activity]]="Instruction",Exceptions[[#This Row],[Elapsed]],0))</f>
        <v/>
      </c>
      <c r="K263" s="42" t="str">
        <f>IF(ISBLANK(Exceptions[[#This Row],[Activity]]),"",IF(_xlfn.XLOOKUP(Exceptions[[#This Row],[Activity]],Types_of_Activity[Type of Activity],Types_of_Activity[Classification])=2,Exceptions[[#This Row],[Elapsed]],0))</f>
        <v/>
      </c>
    </row>
    <row r="264" spans="2:11" x14ac:dyDescent="0.3">
      <c r="B264" t="str">
        <f>TEXT(Exceptions[[#This Row],[Date]],"MMMM")</f>
        <v>January</v>
      </c>
      <c r="C264" s="145"/>
      <c r="D264" s="135"/>
      <c r="E264" s="135"/>
      <c r="F264" s="102"/>
      <c r="G264" s="102"/>
      <c r="H264" s="102"/>
      <c r="I264" s="42" t="str">
        <f>IF(OR(ISBLANK(Exceptions[[#This Row],[Start]]),ISBLANK(Exceptions[[#This Row],[End]])),"",(Exceptions[[#This Row],[End]]-Exceptions[[#This Row],[Start]])*1440)</f>
        <v/>
      </c>
      <c r="J264" s="42" t="str">
        <f>IF(ISBLANK(Exceptions[[#This Row],[Date]]),"",IF(Exceptions[[#This Row],[Activity]]="Instruction",Exceptions[[#This Row],[Elapsed]],0))</f>
        <v/>
      </c>
      <c r="K264" s="42" t="str">
        <f>IF(ISBLANK(Exceptions[[#This Row],[Activity]]),"",IF(_xlfn.XLOOKUP(Exceptions[[#This Row],[Activity]],Types_of_Activity[Type of Activity],Types_of_Activity[Classification])=2,Exceptions[[#This Row],[Elapsed]],0))</f>
        <v/>
      </c>
    </row>
    <row r="265" spans="2:11" x14ac:dyDescent="0.3">
      <c r="B265" t="str">
        <f>TEXT(Exceptions[[#This Row],[Date]],"MMMM")</f>
        <v>January</v>
      </c>
      <c r="C265" s="145"/>
      <c r="D265" s="135"/>
      <c r="E265" s="135"/>
      <c r="F265" s="102"/>
      <c r="G265" s="102"/>
      <c r="H265" s="102"/>
      <c r="I265" s="42" t="str">
        <f>IF(OR(ISBLANK(Exceptions[[#This Row],[Start]]),ISBLANK(Exceptions[[#This Row],[End]])),"",(Exceptions[[#This Row],[End]]-Exceptions[[#This Row],[Start]])*1440)</f>
        <v/>
      </c>
      <c r="J265" s="42" t="str">
        <f>IF(ISBLANK(Exceptions[[#This Row],[Date]]),"",IF(Exceptions[[#This Row],[Activity]]="Instruction",Exceptions[[#This Row],[Elapsed]],0))</f>
        <v/>
      </c>
      <c r="K265" s="42" t="str">
        <f>IF(ISBLANK(Exceptions[[#This Row],[Activity]]),"",IF(_xlfn.XLOOKUP(Exceptions[[#This Row],[Activity]],Types_of_Activity[Type of Activity],Types_of_Activity[Classification])=2,Exceptions[[#This Row],[Elapsed]],0))</f>
        <v/>
      </c>
    </row>
    <row r="266" spans="2:11" x14ac:dyDescent="0.3">
      <c r="B266" t="str">
        <f>TEXT(Exceptions[[#This Row],[Date]],"MMMM")</f>
        <v>January</v>
      </c>
      <c r="C266" s="145"/>
      <c r="D266" s="135"/>
      <c r="E266" s="135"/>
      <c r="F266" s="102"/>
      <c r="G266" s="102"/>
      <c r="H266" s="102"/>
      <c r="I266" s="42" t="str">
        <f>IF(OR(ISBLANK(Exceptions[[#This Row],[Start]]),ISBLANK(Exceptions[[#This Row],[End]])),"",(Exceptions[[#This Row],[End]]-Exceptions[[#This Row],[Start]])*1440)</f>
        <v/>
      </c>
      <c r="J266" s="42" t="str">
        <f>IF(ISBLANK(Exceptions[[#This Row],[Date]]),"",IF(Exceptions[[#This Row],[Activity]]="Instruction",Exceptions[[#This Row],[Elapsed]],0))</f>
        <v/>
      </c>
      <c r="K266" s="42" t="str">
        <f>IF(ISBLANK(Exceptions[[#This Row],[Activity]]),"",IF(_xlfn.XLOOKUP(Exceptions[[#This Row],[Activity]],Types_of_Activity[Type of Activity],Types_of_Activity[Classification])=2,Exceptions[[#This Row],[Elapsed]],0))</f>
        <v/>
      </c>
    </row>
    <row r="267" spans="2:11" x14ac:dyDescent="0.3">
      <c r="B267" t="str">
        <f>TEXT(Exceptions[[#This Row],[Date]],"MMMM")</f>
        <v>January</v>
      </c>
      <c r="C267" s="145"/>
      <c r="D267" s="135"/>
      <c r="E267" s="135"/>
      <c r="F267" s="102"/>
      <c r="G267" s="102"/>
      <c r="H267" s="102"/>
      <c r="I267" s="42" t="str">
        <f>IF(OR(ISBLANK(Exceptions[[#This Row],[Start]]),ISBLANK(Exceptions[[#This Row],[End]])),"",(Exceptions[[#This Row],[End]]-Exceptions[[#This Row],[Start]])*1440)</f>
        <v/>
      </c>
      <c r="J267" s="42" t="str">
        <f>IF(ISBLANK(Exceptions[[#This Row],[Date]]),"",IF(Exceptions[[#This Row],[Activity]]="Instruction",Exceptions[[#This Row],[Elapsed]],0))</f>
        <v/>
      </c>
      <c r="K267" s="42" t="str">
        <f>IF(ISBLANK(Exceptions[[#This Row],[Activity]]),"",IF(_xlfn.XLOOKUP(Exceptions[[#This Row],[Activity]],Types_of_Activity[Type of Activity],Types_of_Activity[Classification])=2,Exceptions[[#This Row],[Elapsed]],0))</f>
        <v/>
      </c>
    </row>
    <row r="268" spans="2:11" x14ac:dyDescent="0.3">
      <c r="B268" t="str">
        <f>TEXT(Exceptions[[#This Row],[Date]],"MMMM")</f>
        <v>January</v>
      </c>
      <c r="C268" s="145"/>
      <c r="D268" s="135"/>
      <c r="E268" s="135"/>
      <c r="F268" s="102"/>
      <c r="G268" s="102"/>
      <c r="H268" s="102"/>
      <c r="I268" s="42" t="str">
        <f>IF(OR(ISBLANK(Exceptions[[#This Row],[Start]]),ISBLANK(Exceptions[[#This Row],[End]])),"",(Exceptions[[#This Row],[End]]-Exceptions[[#This Row],[Start]])*1440)</f>
        <v/>
      </c>
      <c r="J268" s="42" t="str">
        <f>IF(ISBLANK(Exceptions[[#This Row],[Date]]),"",IF(Exceptions[[#This Row],[Activity]]="Instruction",Exceptions[[#This Row],[Elapsed]],0))</f>
        <v/>
      </c>
      <c r="K268" s="42" t="str">
        <f>IF(ISBLANK(Exceptions[[#This Row],[Activity]]),"",IF(_xlfn.XLOOKUP(Exceptions[[#This Row],[Activity]],Types_of_Activity[Type of Activity],Types_of_Activity[Classification])=2,Exceptions[[#This Row],[Elapsed]],0))</f>
        <v/>
      </c>
    </row>
    <row r="269" spans="2:11" x14ac:dyDescent="0.3">
      <c r="B269" t="str">
        <f>TEXT(Exceptions[[#This Row],[Date]],"MMMM")</f>
        <v>January</v>
      </c>
      <c r="C269" s="145"/>
      <c r="D269" s="135"/>
      <c r="E269" s="135"/>
      <c r="F269" s="102"/>
      <c r="G269" s="102"/>
      <c r="H269" s="102"/>
      <c r="I269" s="42" t="str">
        <f>IF(OR(ISBLANK(Exceptions[[#This Row],[Start]]),ISBLANK(Exceptions[[#This Row],[End]])),"",(Exceptions[[#This Row],[End]]-Exceptions[[#This Row],[Start]])*1440)</f>
        <v/>
      </c>
      <c r="J269" s="42" t="str">
        <f>IF(ISBLANK(Exceptions[[#This Row],[Date]]),"",IF(Exceptions[[#This Row],[Activity]]="Instruction",Exceptions[[#This Row],[Elapsed]],0))</f>
        <v/>
      </c>
      <c r="K269" s="42" t="str">
        <f>IF(ISBLANK(Exceptions[[#This Row],[Activity]]),"",IF(_xlfn.XLOOKUP(Exceptions[[#This Row],[Activity]],Types_of_Activity[Type of Activity],Types_of_Activity[Classification])=2,Exceptions[[#This Row],[Elapsed]],0))</f>
        <v/>
      </c>
    </row>
    <row r="270" spans="2:11" x14ac:dyDescent="0.3">
      <c r="B270" t="str">
        <f>TEXT(Exceptions[[#This Row],[Date]],"MMMM")</f>
        <v>January</v>
      </c>
      <c r="C270" s="145"/>
      <c r="D270" s="135"/>
      <c r="E270" s="135"/>
      <c r="F270" s="102"/>
      <c r="G270" s="102"/>
      <c r="H270" s="102"/>
      <c r="I270" s="42" t="str">
        <f>IF(OR(ISBLANK(Exceptions[[#This Row],[Start]]),ISBLANK(Exceptions[[#This Row],[End]])),"",(Exceptions[[#This Row],[End]]-Exceptions[[#This Row],[Start]])*1440)</f>
        <v/>
      </c>
      <c r="J270" s="42" t="str">
        <f>IF(ISBLANK(Exceptions[[#This Row],[Date]]),"",IF(Exceptions[[#This Row],[Activity]]="Instruction",Exceptions[[#This Row],[Elapsed]],0))</f>
        <v/>
      </c>
      <c r="K270" s="42" t="str">
        <f>IF(ISBLANK(Exceptions[[#This Row],[Activity]]),"",IF(_xlfn.XLOOKUP(Exceptions[[#This Row],[Activity]],Types_of_Activity[Type of Activity],Types_of_Activity[Classification])=2,Exceptions[[#This Row],[Elapsed]],0))</f>
        <v/>
      </c>
    </row>
    <row r="271" spans="2:11" x14ac:dyDescent="0.3">
      <c r="B271" t="str">
        <f>TEXT(Exceptions[[#This Row],[Date]],"MMMM")</f>
        <v>January</v>
      </c>
      <c r="C271" s="145"/>
      <c r="D271" s="135"/>
      <c r="E271" s="135"/>
      <c r="F271" s="102"/>
      <c r="G271" s="102"/>
      <c r="H271" s="102"/>
      <c r="I271" s="42" t="str">
        <f>IF(OR(ISBLANK(Exceptions[[#This Row],[Start]]),ISBLANK(Exceptions[[#This Row],[End]])),"",(Exceptions[[#This Row],[End]]-Exceptions[[#This Row],[Start]])*1440)</f>
        <v/>
      </c>
      <c r="J271" s="42" t="str">
        <f>IF(ISBLANK(Exceptions[[#This Row],[Date]]),"",IF(Exceptions[[#This Row],[Activity]]="Instruction",Exceptions[[#This Row],[Elapsed]],0))</f>
        <v/>
      </c>
      <c r="K271" s="42" t="str">
        <f>IF(ISBLANK(Exceptions[[#This Row],[Activity]]),"",IF(_xlfn.XLOOKUP(Exceptions[[#This Row],[Activity]],Types_of_Activity[Type of Activity],Types_of_Activity[Classification])=2,Exceptions[[#This Row],[Elapsed]],0))</f>
        <v/>
      </c>
    </row>
    <row r="272" spans="2:11" x14ac:dyDescent="0.3">
      <c r="B272" t="str">
        <f>TEXT(Exceptions[[#This Row],[Date]],"MMMM")</f>
        <v>January</v>
      </c>
      <c r="C272" s="145"/>
      <c r="D272" s="135"/>
      <c r="E272" s="135"/>
      <c r="F272" s="102"/>
      <c r="G272" s="102"/>
      <c r="H272" s="102"/>
      <c r="I272" s="42" t="str">
        <f>IF(OR(ISBLANK(Exceptions[[#This Row],[Start]]),ISBLANK(Exceptions[[#This Row],[End]])),"",(Exceptions[[#This Row],[End]]-Exceptions[[#This Row],[Start]])*1440)</f>
        <v/>
      </c>
      <c r="J272" s="42" t="str">
        <f>IF(ISBLANK(Exceptions[[#This Row],[Date]]),"",IF(Exceptions[[#This Row],[Activity]]="Instruction",Exceptions[[#This Row],[Elapsed]],0))</f>
        <v/>
      </c>
      <c r="K272" s="42" t="str">
        <f>IF(ISBLANK(Exceptions[[#This Row],[Activity]]),"",IF(_xlfn.XLOOKUP(Exceptions[[#This Row],[Activity]],Types_of_Activity[Type of Activity],Types_of_Activity[Classification])=2,Exceptions[[#This Row],[Elapsed]],0))</f>
        <v/>
      </c>
    </row>
    <row r="273" spans="2:11" x14ac:dyDescent="0.3">
      <c r="B273" t="str">
        <f>TEXT(Exceptions[[#This Row],[Date]],"MMMM")</f>
        <v>January</v>
      </c>
      <c r="C273" s="145"/>
      <c r="D273" s="135"/>
      <c r="E273" s="135"/>
      <c r="F273" s="102"/>
      <c r="G273" s="102"/>
      <c r="H273" s="102"/>
      <c r="I273" s="42" t="str">
        <f>IF(OR(ISBLANK(Exceptions[[#This Row],[Start]]),ISBLANK(Exceptions[[#This Row],[End]])),"",(Exceptions[[#This Row],[End]]-Exceptions[[#This Row],[Start]])*1440)</f>
        <v/>
      </c>
      <c r="J273" s="42" t="str">
        <f>IF(ISBLANK(Exceptions[[#This Row],[Date]]),"",IF(Exceptions[[#This Row],[Activity]]="Instruction",Exceptions[[#This Row],[Elapsed]],0))</f>
        <v/>
      </c>
      <c r="K273" s="42" t="str">
        <f>IF(ISBLANK(Exceptions[[#This Row],[Activity]]),"",IF(_xlfn.XLOOKUP(Exceptions[[#This Row],[Activity]],Types_of_Activity[Type of Activity],Types_of_Activity[Classification])=2,Exceptions[[#This Row],[Elapsed]],0))</f>
        <v/>
      </c>
    </row>
    <row r="274" spans="2:11" x14ac:dyDescent="0.3">
      <c r="B274" t="str">
        <f>TEXT(Exceptions[[#This Row],[Date]],"MMMM")</f>
        <v>January</v>
      </c>
      <c r="C274" s="145"/>
      <c r="D274" s="135"/>
      <c r="E274" s="135"/>
      <c r="F274" s="102"/>
      <c r="G274" s="102"/>
      <c r="H274" s="102"/>
      <c r="I274" s="42" t="str">
        <f>IF(OR(ISBLANK(Exceptions[[#This Row],[Start]]),ISBLANK(Exceptions[[#This Row],[End]])),"",(Exceptions[[#This Row],[End]]-Exceptions[[#This Row],[Start]])*1440)</f>
        <v/>
      </c>
      <c r="J274" s="42" t="str">
        <f>IF(ISBLANK(Exceptions[[#This Row],[Date]]),"",IF(Exceptions[[#This Row],[Activity]]="Instruction",Exceptions[[#This Row],[Elapsed]],0))</f>
        <v/>
      </c>
      <c r="K274" s="42" t="str">
        <f>IF(ISBLANK(Exceptions[[#This Row],[Activity]]),"",IF(_xlfn.XLOOKUP(Exceptions[[#This Row],[Activity]],Types_of_Activity[Type of Activity],Types_of_Activity[Classification])=2,Exceptions[[#This Row],[Elapsed]],0))</f>
        <v/>
      </c>
    </row>
    <row r="275" spans="2:11" x14ac:dyDescent="0.3">
      <c r="B275" t="str">
        <f>TEXT(Exceptions[[#This Row],[Date]],"MMMM")</f>
        <v>January</v>
      </c>
      <c r="C275" s="145"/>
      <c r="D275" s="135"/>
      <c r="E275" s="135"/>
      <c r="F275" s="102"/>
      <c r="G275" s="102"/>
      <c r="H275" s="102"/>
      <c r="I275" s="42" t="str">
        <f>IF(OR(ISBLANK(Exceptions[[#This Row],[Start]]),ISBLANK(Exceptions[[#This Row],[End]])),"",(Exceptions[[#This Row],[End]]-Exceptions[[#This Row],[Start]])*1440)</f>
        <v/>
      </c>
      <c r="J275" s="42" t="str">
        <f>IF(ISBLANK(Exceptions[[#This Row],[Date]]),"",IF(Exceptions[[#This Row],[Activity]]="Instruction",Exceptions[[#This Row],[Elapsed]],0))</f>
        <v/>
      </c>
      <c r="K275" s="42" t="str">
        <f>IF(ISBLANK(Exceptions[[#This Row],[Activity]]),"",IF(_xlfn.XLOOKUP(Exceptions[[#This Row],[Activity]],Types_of_Activity[Type of Activity],Types_of_Activity[Classification])=2,Exceptions[[#This Row],[Elapsed]],0))</f>
        <v/>
      </c>
    </row>
    <row r="276" spans="2:11" x14ac:dyDescent="0.3">
      <c r="B276" t="str">
        <f>TEXT(Exceptions[[#This Row],[Date]],"MMMM")</f>
        <v>January</v>
      </c>
      <c r="C276" s="145"/>
      <c r="D276" s="135"/>
      <c r="E276" s="135"/>
      <c r="F276" s="102"/>
      <c r="G276" s="102"/>
      <c r="H276" s="102"/>
      <c r="I276" s="42" t="str">
        <f>IF(OR(ISBLANK(Exceptions[[#This Row],[Start]]),ISBLANK(Exceptions[[#This Row],[End]])),"",(Exceptions[[#This Row],[End]]-Exceptions[[#This Row],[Start]])*1440)</f>
        <v/>
      </c>
      <c r="J276" s="42" t="str">
        <f>IF(ISBLANK(Exceptions[[#This Row],[Date]]),"",IF(Exceptions[[#This Row],[Activity]]="Instruction",Exceptions[[#This Row],[Elapsed]],0))</f>
        <v/>
      </c>
      <c r="K276" s="42" t="str">
        <f>IF(ISBLANK(Exceptions[[#This Row],[Activity]]),"",IF(_xlfn.XLOOKUP(Exceptions[[#This Row],[Activity]],Types_of_Activity[Type of Activity],Types_of_Activity[Classification])=2,Exceptions[[#This Row],[Elapsed]],0))</f>
        <v/>
      </c>
    </row>
    <row r="277" spans="2:11" x14ac:dyDescent="0.3">
      <c r="B277" t="str">
        <f>TEXT(Exceptions[[#This Row],[Date]],"MMMM")</f>
        <v>January</v>
      </c>
      <c r="C277" s="145"/>
      <c r="D277" s="135"/>
      <c r="E277" s="135"/>
      <c r="F277" s="102"/>
      <c r="G277" s="102"/>
      <c r="H277" s="102"/>
      <c r="I277" s="42" t="str">
        <f>IF(OR(ISBLANK(Exceptions[[#This Row],[Start]]),ISBLANK(Exceptions[[#This Row],[End]])),"",(Exceptions[[#This Row],[End]]-Exceptions[[#This Row],[Start]])*1440)</f>
        <v/>
      </c>
      <c r="J277" s="42" t="str">
        <f>IF(ISBLANK(Exceptions[[#This Row],[Date]]),"",IF(Exceptions[[#This Row],[Activity]]="Instruction",Exceptions[[#This Row],[Elapsed]],0))</f>
        <v/>
      </c>
      <c r="K277" s="42" t="str">
        <f>IF(ISBLANK(Exceptions[[#This Row],[Activity]]),"",IF(_xlfn.XLOOKUP(Exceptions[[#This Row],[Activity]],Types_of_Activity[Type of Activity],Types_of_Activity[Classification])=2,Exceptions[[#This Row],[Elapsed]],0))</f>
        <v/>
      </c>
    </row>
    <row r="278" spans="2:11" x14ac:dyDescent="0.3">
      <c r="B278" t="str">
        <f>TEXT(Exceptions[[#This Row],[Date]],"MMMM")</f>
        <v>January</v>
      </c>
      <c r="C278" s="145"/>
      <c r="D278" s="135"/>
      <c r="E278" s="135"/>
      <c r="F278" s="102"/>
      <c r="G278" s="102"/>
      <c r="H278" s="102"/>
      <c r="I278" s="42" t="str">
        <f>IF(OR(ISBLANK(Exceptions[[#This Row],[Start]]),ISBLANK(Exceptions[[#This Row],[End]])),"",(Exceptions[[#This Row],[End]]-Exceptions[[#This Row],[Start]])*1440)</f>
        <v/>
      </c>
      <c r="J278" s="42" t="str">
        <f>IF(ISBLANK(Exceptions[[#This Row],[Date]]),"",IF(Exceptions[[#This Row],[Activity]]="Instruction",Exceptions[[#This Row],[Elapsed]],0))</f>
        <v/>
      </c>
      <c r="K278" s="42" t="str">
        <f>IF(ISBLANK(Exceptions[[#This Row],[Activity]]),"",IF(_xlfn.XLOOKUP(Exceptions[[#This Row],[Activity]],Types_of_Activity[Type of Activity],Types_of_Activity[Classification])=2,Exceptions[[#This Row],[Elapsed]],0))</f>
        <v/>
      </c>
    </row>
    <row r="279" spans="2:11" x14ac:dyDescent="0.3">
      <c r="B279" t="str">
        <f>TEXT(Exceptions[[#This Row],[Date]],"MMMM")</f>
        <v>January</v>
      </c>
      <c r="C279" s="145"/>
      <c r="D279" s="135"/>
      <c r="E279" s="135"/>
      <c r="F279" s="102"/>
      <c r="G279" s="102"/>
      <c r="H279" s="102"/>
      <c r="I279" s="42" t="str">
        <f>IF(OR(ISBLANK(Exceptions[[#This Row],[Start]]),ISBLANK(Exceptions[[#This Row],[End]])),"",(Exceptions[[#This Row],[End]]-Exceptions[[#This Row],[Start]])*1440)</f>
        <v/>
      </c>
      <c r="J279" s="42" t="str">
        <f>IF(ISBLANK(Exceptions[[#This Row],[Date]]),"",IF(Exceptions[[#This Row],[Activity]]="Instruction",Exceptions[[#This Row],[Elapsed]],0))</f>
        <v/>
      </c>
      <c r="K279" s="42" t="str">
        <f>IF(ISBLANK(Exceptions[[#This Row],[Activity]]),"",IF(_xlfn.XLOOKUP(Exceptions[[#This Row],[Activity]],Types_of_Activity[Type of Activity],Types_of_Activity[Classification])=2,Exceptions[[#This Row],[Elapsed]],0))</f>
        <v/>
      </c>
    </row>
    <row r="280" spans="2:11" x14ac:dyDescent="0.3">
      <c r="B280" t="str">
        <f>TEXT(Exceptions[[#This Row],[Date]],"MMMM")</f>
        <v>January</v>
      </c>
      <c r="C280" s="145"/>
      <c r="D280" s="135"/>
      <c r="E280" s="135"/>
      <c r="F280" s="102"/>
      <c r="G280" s="102"/>
      <c r="H280" s="102"/>
      <c r="I280" s="42" t="str">
        <f>IF(OR(ISBLANK(Exceptions[[#This Row],[Start]]),ISBLANK(Exceptions[[#This Row],[End]])),"",(Exceptions[[#This Row],[End]]-Exceptions[[#This Row],[Start]])*1440)</f>
        <v/>
      </c>
      <c r="J280" s="42" t="str">
        <f>IF(ISBLANK(Exceptions[[#This Row],[Date]]),"",IF(Exceptions[[#This Row],[Activity]]="Instruction",Exceptions[[#This Row],[Elapsed]],0))</f>
        <v/>
      </c>
      <c r="K280" s="42" t="str">
        <f>IF(ISBLANK(Exceptions[[#This Row],[Activity]]),"",IF(_xlfn.XLOOKUP(Exceptions[[#This Row],[Activity]],Types_of_Activity[Type of Activity],Types_of_Activity[Classification])=2,Exceptions[[#This Row],[Elapsed]],0))</f>
        <v/>
      </c>
    </row>
    <row r="281" spans="2:11" x14ac:dyDescent="0.3">
      <c r="B281" t="str">
        <f>TEXT(Exceptions[[#This Row],[Date]],"MMMM")</f>
        <v>January</v>
      </c>
      <c r="C281" s="145"/>
      <c r="D281" s="135"/>
      <c r="E281" s="135"/>
      <c r="F281" s="102"/>
      <c r="G281" s="102"/>
      <c r="H281" s="102"/>
      <c r="I281" s="42" t="str">
        <f>IF(OR(ISBLANK(Exceptions[[#This Row],[Start]]),ISBLANK(Exceptions[[#This Row],[End]])),"",(Exceptions[[#This Row],[End]]-Exceptions[[#This Row],[Start]])*1440)</f>
        <v/>
      </c>
      <c r="J281" s="42" t="str">
        <f>IF(ISBLANK(Exceptions[[#This Row],[Date]]),"",IF(Exceptions[[#This Row],[Activity]]="Instruction",Exceptions[[#This Row],[Elapsed]],0))</f>
        <v/>
      </c>
      <c r="K281" s="42" t="str">
        <f>IF(ISBLANK(Exceptions[[#This Row],[Activity]]),"",IF(_xlfn.XLOOKUP(Exceptions[[#This Row],[Activity]],Types_of_Activity[Type of Activity],Types_of_Activity[Classification])=2,Exceptions[[#This Row],[Elapsed]],0))</f>
        <v/>
      </c>
    </row>
    <row r="282" spans="2:11" x14ac:dyDescent="0.3">
      <c r="B282" t="str">
        <f>TEXT(Exceptions[[#This Row],[Date]],"MMMM")</f>
        <v>January</v>
      </c>
      <c r="C282" s="145"/>
      <c r="D282" s="135"/>
      <c r="E282" s="135"/>
      <c r="F282" s="102"/>
      <c r="G282" s="102"/>
      <c r="H282" s="102"/>
      <c r="I282" s="42" t="str">
        <f>IF(OR(ISBLANK(Exceptions[[#This Row],[Start]]),ISBLANK(Exceptions[[#This Row],[End]])),"",(Exceptions[[#This Row],[End]]-Exceptions[[#This Row],[Start]])*1440)</f>
        <v/>
      </c>
      <c r="J282" s="42" t="str">
        <f>IF(ISBLANK(Exceptions[[#This Row],[Date]]),"",IF(Exceptions[[#This Row],[Activity]]="Instruction",Exceptions[[#This Row],[Elapsed]],0))</f>
        <v/>
      </c>
      <c r="K282" s="42" t="str">
        <f>IF(ISBLANK(Exceptions[[#This Row],[Activity]]),"",IF(_xlfn.XLOOKUP(Exceptions[[#This Row],[Activity]],Types_of_Activity[Type of Activity],Types_of_Activity[Classification])=2,Exceptions[[#This Row],[Elapsed]],0))</f>
        <v/>
      </c>
    </row>
    <row r="283" spans="2:11" x14ac:dyDescent="0.3">
      <c r="B283" t="str">
        <f>TEXT(Exceptions[[#This Row],[Date]],"MMMM")</f>
        <v>January</v>
      </c>
      <c r="C283" s="145"/>
      <c r="D283" s="135"/>
      <c r="E283" s="135"/>
      <c r="F283" s="102"/>
      <c r="G283" s="102"/>
      <c r="H283" s="102"/>
      <c r="I283" s="42" t="str">
        <f>IF(OR(ISBLANK(Exceptions[[#This Row],[Start]]),ISBLANK(Exceptions[[#This Row],[End]])),"",(Exceptions[[#This Row],[End]]-Exceptions[[#This Row],[Start]])*1440)</f>
        <v/>
      </c>
      <c r="J283" s="42" t="str">
        <f>IF(ISBLANK(Exceptions[[#This Row],[Date]]),"",IF(Exceptions[[#This Row],[Activity]]="Instruction",Exceptions[[#This Row],[Elapsed]],0))</f>
        <v/>
      </c>
      <c r="K283" s="42" t="str">
        <f>IF(ISBLANK(Exceptions[[#This Row],[Activity]]),"",IF(_xlfn.XLOOKUP(Exceptions[[#This Row],[Activity]],Types_of_Activity[Type of Activity],Types_of_Activity[Classification])=2,Exceptions[[#This Row],[Elapsed]],0))</f>
        <v/>
      </c>
    </row>
    <row r="284" spans="2:11" x14ac:dyDescent="0.3">
      <c r="B284" t="str">
        <f>TEXT(Exceptions[[#This Row],[Date]],"MMMM")</f>
        <v>January</v>
      </c>
      <c r="C284" s="145"/>
      <c r="D284" s="135"/>
      <c r="E284" s="135"/>
      <c r="F284" s="102"/>
      <c r="G284" s="102"/>
      <c r="H284" s="102"/>
      <c r="I284" s="42" t="str">
        <f>IF(OR(ISBLANK(Exceptions[[#This Row],[Start]]),ISBLANK(Exceptions[[#This Row],[End]])),"",(Exceptions[[#This Row],[End]]-Exceptions[[#This Row],[Start]])*1440)</f>
        <v/>
      </c>
      <c r="J284" s="42" t="str">
        <f>IF(ISBLANK(Exceptions[[#This Row],[Date]]),"",IF(Exceptions[[#This Row],[Activity]]="Instruction",Exceptions[[#This Row],[Elapsed]],0))</f>
        <v/>
      </c>
      <c r="K284" s="42" t="str">
        <f>IF(ISBLANK(Exceptions[[#This Row],[Activity]]),"",IF(_xlfn.XLOOKUP(Exceptions[[#This Row],[Activity]],Types_of_Activity[Type of Activity],Types_of_Activity[Classification])=2,Exceptions[[#This Row],[Elapsed]],0))</f>
        <v/>
      </c>
    </row>
    <row r="285" spans="2:11" x14ac:dyDescent="0.3">
      <c r="B285" t="str">
        <f>TEXT(Exceptions[[#This Row],[Date]],"MMMM")</f>
        <v>January</v>
      </c>
      <c r="C285" s="145"/>
      <c r="D285" s="135"/>
      <c r="E285" s="135"/>
      <c r="F285" s="102"/>
      <c r="G285" s="102"/>
      <c r="H285" s="102"/>
      <c r="I285" s="42" t="str">
        <f>IF(OR(ISBLANK(Exceptions[[#This Row],[Start]]),ISBLANK(Exceptions[[#This Row],[End]])),"",(Exceptions[[#This Row],[End]]-Exceptions[[#This Row],[Start]])*1440)</f>
        <v/>
      </c>
      <c r="J285" s="42" t="str">
        <f>IF(ISBLANK(Exceptions[[#This Row],[Date]]),"",IF(Exceptions[[#This Row],[Activity]]="Instruction",Exceptions[[#This Row],[Elapsed]],0))</f>
        <v/>
      </c>
      <c r="K285" s="42" t="str">
        <f>IF(ISBLANK(Exceptions[[#This Row],[Activity]]),"",IF(_xlfn.XLOOKUP(Exceptions[[#This Row],[Activity]],Types_of_Activity[Type of Activity],Types_of_Activity[Classification])=2,Exceptions[[#This Row],[Elapsed]],0))</f>
        <v/>
      </c>
    </row>
    <row r="286" spans="2:11" x14ac:dyDescent="0.3">
      <c r="B286" t="str">
        <f>TEXT(Exceptions[[#This Row],[Date]],"MMMM")</f>
        <v>January</v>
      </c>
      <c r="C286" s="145"/>
      <c r="D286" s="135"/>
      <c r="E286" s="135"/>
      <c r="F286" s="102"/>
      <c r="G286" s="102"/>
      <c r="H286" s="102"/>
      <c r="I286" s="42" t="str">
        <f>IF(OR(ISBLANK(Exceptions[[#This Row],[Start]]),ISBLANK(Exceptions[[#This Row],[End]])),"",(Exceptions[[#This Row],[End]]-Exceptions[[#This Row],[Start]])*1440)</f>
        <v/>
      </c>
      <c r="J286" s="42" t="str">
        <f>IF(ISBLANK(Exceptions[[#This Row],[Date]]),"",IF(Exceptions[[#This Row],[Activity]]="Instruction",Exceptions[[#This Row],[Elapsed]],0))</f>
        <v/>
      </c>
      <c r="K286" s="42" t="str">
        <f>IF(ISBLANK(Exceptions[[#This Row],[Activity]]),"",IF(_xlfn.XLOOKUP(Exceptions[[#This Row],[Activity]],Types_of_Activity[Type of Activity],Types_of_Activity[Classification])=2,Exceptions[[#This Row],[Elapsed]],0))</f>
        <v/>
      </c>
    </row>
    <row r="287" spans="2:11" x14ac:dyDescent="0.3">
      <c r="B287" t="str">
        <f>TEXT(Exceptions[[#This Row],[Date]],"MMMM")</f>
        <v>January</v>
      </c>
      <c r="C287" s="145"/>
      <c r="D287" s="135"/>
      <c r="E287" s="135"/>
      <c r="F287" s="102"/>
      <c r="G287" s="102"/>
      <c r="H287" s="102"/>
      <c r="I287" s="42" t="str">
        <f>IF(OR(ISBLANK(Exceptions[[#This Row],[Start]]),ISBLANK(Exceptions[[#This Row],[End]])),"",(Exceptions[[#This Row],[End]]-Exceptions[[#This Row],[Start]])*1440)</f>
        <v/>
      </c>
      <c r="J287" s="42" t="str">
        <f>IF(ISBLANK(Exceptions[[#This Row],[Date]]),"",IF(Exceptions[[#This Row],[Activity]]="Instruction",Exceptions[[#This Row],[Elapsed]],0))</f>
        <v/>
      </c>
      <c r="K287" s="42" t="str">
        <f>IF(ISBLANK(Exceptions[[#This Row],[Activity]]),"",IF(_xlfn.XLOOKUP(Exceptions[[#This Row],[Activity]],Types_of_Activity[Type of Activity],Types_of_Activity[Classification])=2,Exceptions[[#This Row],[Elapsed]],0))</f>
        <v/>
      </c>
    </row>
    <row r="288" spans="2:11" x14ac:dyDescent="0.3">
      <c r="B288" t="str">
        <f>TEXT(Exceptions[[#This Row],[Date]],"MMMM")</f>
        <v>January</v>
      </c>
      <c r="C288" s="145"/>
      <c r="D288" s="135"/>
      <c r="E288" s="135"/>
      <c r="F288" s="102"/>
      <c r="G288" s="102"/>
      <c r="H288" s="102"/>
      <c r="I288" s="42" t="str">
        <f>IF(OR(ISBLANK(Exceptions[[#This Row],[Start]]),ISBLANK(Exceptions[[#This Row],[End]])),"",(Exceptions[[#This Row],[End]]-Exceptions[[#This Row],[Start]])*1440)</f>
        <v/>
      </c>
      <c r="J288" s="42" t="str">
        <f>IF(ISBLANK(Exceptions[[#This Row],[Date]]),"",IF(Exceptions[[#This Row],[Activity]]="Instruction",Exceptions[[#This Row],[Elapsed]],0))</f>
        <v/>
      </c>
      <c r="K288" s="42" t="str">
        <f>IF(ISBLANK(Exceptions[[#This Row],[Activity]]),"",IF(_xlfn.XLOOKUP(Exceptions[[#This Row],[Activity]],Types_of_Activity[Type of Activity],Types_of_Activity[Classification])=2,Exceptions[[#This Row],[Elapsed]],0))</f>
        <v/>
      </c>
    </row>
    <row r="289" spans="2:11" x14ac:dyDescent="0.3">
      <c r="B289" t="str">
        <f>TEXT(Exceptions[[#This Row],[Date]],"MMMM")</f>
        <v>January</v>
      </c>
      <c r="C289" s="145"/>
      <c r="D289" s="135"/>
      <c r="E289" s="135"/>
      <c r="F289" s="102"/>
      <c r="G289" s="102"/>
      <c r="H289" s="102"/>
      <c r="I289" s="42" t="str">
        <f>IF(OR(ISBLANK(Exceptions[[#This Row],[Start]]),ISBLANK(Exceptions[[#This Row],[End]])),"",(Exceptions[[#This Row],[End]]-Exceptions[[#This Row],[Start]])*1440)</f>
        <v/>
      </c>
      <c r="J289" s="42" t="str">
        <f>IF(ISBLANK(Exceptions[[#This Row],[Date]]),"",IF(Exceptions[[#This Row],[Activity]]="Instruction",Exceptions[[#This Row],[Elapsed]],0))</f>
        <v/>
      </c>
      <c r="K289" s="42" t="str">
        <f>IF(ISBLANK(Exceptions[[#This Row],[Activity]]),"",IF(_xlfn.XLOOKUP(Exceptions[[#This Row],[Activity]],Types_of_Activity[Type of Activity],Types_of_Activity[Classification])=2,Exceptions[[#This Row],[Elapsed]],0))</f>
        <v/>
      </c>
    </row>
    <row r="290" spans="2:11" x14ac:dyDescent="0.3">
      <c r="B290" t="str">
        <f>TEXT(Exceptions[[#This Row],[Date]],"MMMM")</f>
        <v>January</v>
      </c>
      <c r="C290" s="145"/>
      <c r="D290" s="135"/>
      <c r="E290" s="135"/>
      <c r="F290" s="102"/>
      <c r="G290" s="102"/>
      <c r="H290" s="102"/>
      <c r="I290" s="42" t="str">
        <f>IF(OR(ISBLANK(Exceptions[[#This Row],[Start]]),ISBLANK(Exceptions[[#This Row],[End]])),"",(Exceptions[[#This Row],[End]]-Exceptions[[#This Row],[Start]])*1440)</f>
        <v/>
      </c>
      <c r="J290" s="42" t="str">
        <f>IF(ISBLANK(Exceptions[[#This Row],[Date]]),"",IF(Exceptions[[#This Row],[Activity]]="Instruction",Exceptions[[#This Row],[Elapsed]],0))</f>
        <v/>
      </c>
      <c r="K290" s="42" t="str">
        <f>IF(ISBLANK(Exceptions[[#This Row],[Activity]]),"",IF(_xlfn.XLOOKUP(Exceptions[[#This Row],[Activity]],Types_of_Activity[Type of Activity],Types_of_Activity[Classification])=2,Exceptions[[#This Row],[Elapsed]],0))</f>
        <v/>
      </c>
    </row>
    <row r="291" spans="2:11" x14ac:dyDescent="0.3">
      <c r="B291" t="str">
        <f>TEXT(Exceptions[[#This Row],[Date]],"MMMM")</f>
        <v>January</v>
      </c>
      <c r="C291" s="145"/>
      <c r="D291" s="135"/>
      <c r="E291" s="135"/>
      <c r="F291" s="102"/>
      <c r="G291" s="102"/>
      <c r="H291" s="102"/>
      <c r="I291" s="42" t="str">
        <f>IF(OR(ISBLANK(Exceptions[[#This Row],[Start]]),ISBLANK(Exceptions[[#This Row],[End]])),"",(Exceptions[[#This Row],[End]]-Exceptions[[#This Row],[Start]])*1440)</f>
        <v/>
      </c>
      <c r="J291" s="42" t="str">
        <f>IF(ISBLANK(Exceptions[[#This Row],[Date]]),"",IF(Exceptions[[#This Row],[Activity]]="Instruction",Exceptions[[#This Row],[Elapsed]],0))</f>
        <v/>
      </c>
      <c r="K291" s="42" t="str">
        <f>IF(ISBLANK(Exceptions[[#This Row],[Activity]]),"",IF(_xlfn.XLOOKUP(Exceptions[[#This Row],[Activity]],Types_of_Activity[Type of Activity],Types_of_Activity[Classification])=2,Exceptions[[#This Row],[Elapsed]],0))</f>
        <v/>
      </c>
    </row>
    <row r="292" spans="2:11" x14ac:dyDescent="0.3">
      <c r="B292" t="str">
        <f>TEXT(Exceptions[[#This Row],[Date]],"MMMM")</f>
        <v>January</v>
      </c>
      <c r="C292" s="145"/>
      <c r="D292" s="135"/>
      <c r="E292" s="135"/>
      <c r="F292" s="102"/>
      <c r="G292" s="102"/>
      <c r="H292" s="102"/>
      <c r="I292" s="42" t="str">
        <f>IF(OR(ISBLANK(Exceptions[[#This Row],[Start]]),ISBLANK(Exceptions[[#This Row],[End]])),"",(Exceptions[[#This Row],[End]]-Exceptions[[#This Row],[Start]])*1440)</f>
        <v/>
      </c>
      <c r="J292" s="42" t="str">
        <f>IF(ISBLANK(Exceptions[[#This Row],[Date]]),"",IF(Exceptions[[#This Row],[Activity]]="Instruction",Exceptions[[#This Row],[Elapsed]],0))</f>
        <v/>
      </c>
      <c r="K292" s="42" t="str">
        <f>IF(ISBLANK(Exceptions[[#This Row],[Activity]]),"",IF(_xlfn.XLOOKUP(Exceptions[[#This Row],[Activity]],Types_of_Activity[Type of Activity],Types_of_Activity[Classification])=2,Exceptions[[#This Row],[Elapsed]],0))</f>
        <v/>
      </c>
    </row>
    <row r="293" spans="2:11" x14ac:dyDescent="0.3">
      <c r="B293" t="str">
        <f>TEXT(Exceptions[[#This Row],[Date]],"MMMM")</f>
        <v>January</v>
      </c>
      <c r="C293" s="145"/>
      <c r="D293" s="135"/>
      <c r="E293" s="135"/>
      <c r="F293" s="102"/>
      <c r="G293" s="102"/>
      <c r="H293" s="102"/>
      <c r="I293" s="42" t="str">
        <f>IF(OR(ISBLANK(Exceptions[[#This Row],[Start]]),ISBLANK(Exceptions[[#This Row],[End]])),"",(Exceptions[[#This Row],[End]]-Exceptions[[#This Row],[Start]])*1440)</f>
        <v/>
      </c>
      <c r="J293" s="42" t="str">
        <f>IF(ISBLANK(Exceptions[[#This Row],[Date]]),"",IF(Exceptions[[#This Row],[Activity]]="Instruction",Exceptions[[#This Row],[Elapsed]],0))</f>
        <v/>
      </c>
      <c r="K293" s="42" t="str">
        <f>IF(ISBLANK(Exceptions[[#This Row],[Activity]]),"",IF(_xlfn.XLOOKUP(Exceptions[[#This Row],[Activity]],Types_of_Activity[Type of Activity],Types_of_Activity[Classification])=2,Exceptions[[#This Row],[Elapsed]],0))</f>
        <v/>
      </c>
    </row>
    <row r="294" spans="2:11" x14ac:dyDescent="0.3">
      <c r="B294" t="str">
        <f>TEXT(Exceptions[[#This Row],[Date]],"MMMM")</f>
        <v>January</v>
      </c>
      <c r="C294" s="145"/>
      <c r="D294" s="135"/>
      <c r="E294" s="135"/>
      <c r="F294" s="102"/>
      <c r="G294" s="102"/>
      <c r="H294" s="102"/>
      <c r="I294" s="42" t="str">
        <f>IF(OR(ISBLANK(Exceptions[[#This Row],[Start]]),ISBLANK(Exceptions[[#This Row],[End]])),"",(Exceptions[[#This Row],[End]]-Exceptions[[#This Row],[Start]])*1440)</f>
        <v/>
      </c>
      <c r="J294" s="42" t="str">
        <f>IF(ISBLANK(Exceptions[[#This Row],[Date]]),"",IF(Exceptions[[#This Row],[Activity]]="Instruction",Exceptions[[#This Row],[Elapsed]],0))</f>
        <v/>
      </c>
      <c r="K294" s="42" t="str">
        <f>IF(ISBLANK(Exceptions[[#This Row],[Activity]]),"",IF(_xlfn.XLOOKUP(Exceptions[[#This Row],[Activity]],Types_of_Activity[Type of Activity],Types_of_Activity[Classification])=2,Exceptions[[#This Row],[Elapsed]],0))</f>
        <v/>
      </c>
    </row>
    <row r="295" spans="2:11" x14ac:dyDescent="0.3">
      <c r="B295" t="str">
        <f>TEXT(Exceptions[[#This Row],[Date]],"MMMM")</f>
        <v>January</v>
      </c>
      <c r="C295" s="145"/>
      <c r="D295" s="135"/>
      <c r="E295" s="135"/>
      <c r="F295" s="102"/>
      <c r="G295" s="102"/>
      <c r="H295" s="102"/>
      <c r="I295" s="42" t="str">
        <f>IF(OR(ISBLANK(Exceptions[[#This Row],[Start]]),ISBLANK(Exceptions[[#This Row],[End]])),"",(Exceptions[[#This Row],[End]]-Exceptions[[#This Row],[Start]])*1440)</f>
        <v/>
      </c>
      <c r="J295" s="42" t="str">
        <f>IF(ISBLANK(Exceptions[[#This Row],[Date]]),"",IF(Exceptions[[#This Row],[Activity]]="Instruction",Exceptions[[#This Row],[Elapsed]],0))</f>
        <v/>
      </c>
      <c r="K295" s="42" t="str">
        <f>IF(ISBLANK(Exceptions[[#This Row],[Activity]]),"",IF(_xlfn.XLOOKUP(Exceptions[[#This Row],[Activity]],Types_of_Activity[Type of Activity],Types_of_Activity[Classification])=2,Exceptions[[#This Row],[Elapsed]],0))</f>
        <v/>
      </c>
    </row>
    <row r="296" spans="2:11" x14ac:dyDescent="0.3">
      <c r="B296" t="str">
        <f>TEXT(Exceptions[[#This Row],[Date]],"MMMM")</f>
        <v>January</v>
      </c>
      <c r="C296" s="145"/>
      <c r="D296" s="135"/>
      <c r="E296" s="135"/>
      <c r="F296" s="102"/>
      <c r="G296" s="102"/>
      <c r="H296" s="102"/>
      <c r="I296" s="42" t="str">
        <f>IF(OR(ISBLANK(Exceptions[[#This Row],[Start]]),ISBLANK(Exceptions[[#This Row],[End]])),"",(Exceptions[[#This Row],[End]]-Exceptions[[#This Row],[Start]])*1440)</f>
        <v/>
      </c>
      <c r="J296" s="42" t="str">
        <f>IF(ISBLANK(Exceptions[[#This Row],[Date]]),"",IF(Exceptions[[#This Row],[Activity]]="Instruction",Exceptions[[#This Row],[Elapsed]],0))</f>
        <v/>
      </c>
      <c r="K296" s="42" t="str">
        <f>IF(ISBLANK(Exceptions[[#This Row],[Activity]]),"",IF(_xlfn.XLOOKUP(Exceptions[[#This Row],[Activity]],Types_of_Activity[Type of Activity],Types_of_Activity[Classification])=2,Exceptions[[#This Row],[Elapsed]],0))</f>
        <v/>
      </c>
    </row>
    <row r="297" spans="2:11" x14ac:dyDescent="0.3">
      <c r="B297" t="str">
        <f>TEXT(Exceptions[[#This Row],[Date]],"MMMM")</f>
        <v>January</v>
      </c>
      <c r="C297" s="145"/>
      <c r="D297" s="135"/>
      <c r="E297" s="135"/>
      <c r="F297" s="102"/>
      <c r="G297" s="102"/>
      <c r="H297" s="102"/>
      <c r="I297" s="42" t="str">
        <f>IF(OR(ISBLANK(Exceptions[[#This Row],[Start]]),ISBLANK(Exceptions[[#This Row],[End]])),"",(Exceptions[[#This Row],[End]]-Exceptions[[#This Row],[Start]])*1440)</f>
        <v/>
      </c>
      <c r="J297" s="42" t="str">
        <f>IF(ISBLANK(Exceptions[[#This Row],[Date]]),"",IF(Exceptions[[#This Row],[Activity]]="Instruction",Exceptions[[#This Row],[Elapsed]],0))</f>
        <v/>
      </c>
      <c r="K297" s="42" t="str">
        <f>IF(ISBLANK(Exceptions[[#This Row],[Activity]]),"",IF(_xlfn.XLOOKUP(Exceptions[[#This Row],[Activity]],Types_of_Activity[Type of Activity],Types_of_Activity[Classification])=2,Exceptions[[#This Row],[Elapsed]],0))</f>
        <v/>
      </c>
    </row>
    <row r="298" spans="2:11" x14ac:dyDescent="0.3">
      <c r="B298" t="str">
        <f>TEXT(Exceptions[[#This Row],[Date]],"MMMM")</f>
        <v>January</v>
      </c>
      <c r="C298" s="145"/>
      <c r="D298" s="135"/>
      <c r="E298" s="135"/>
      <c r="F298" s="102"/>
      <c r="G298" s="102"/>
      <c r="H298" s="102"/>
      <c r="I298" s="42" t="str">
        <f>IF(OR(ISBLANK(Exceptions[[#This Row],[Start]]),ISBLANK(Exceptions[[#This Row],[End]])),"",(Exceptions[[#This Row],[End]]-Exceptions[[#This Row],[Start]])*1440)</f>
        <v/>
      </c>
      <c r="J298" s="42" t="str">
        <f>IF(ISBLANK(Exceptions[[#This Row],[Date]]),"",IF(Exceptions[[#This Row],[Activity]]="Instruction",Exceptions[[#This Row],[Elapsed]],0))</f>
        <v/>
      </c>
      <c r="K298" s="42" t="str">
        <f>IF(ISBLANK(Exceptions[[#This Row],[Activity]]),"",IF(_xlfn.XLOOKUP(Exceptions[[#This Row],[Activity]],Types_of_Activity[Type of Activity],Types_of_Activity[Classification])=2,Exceptions[[#This Row],[Elapsed]],0))</f>
        <v/>
      </c>
    </row>
    <row r="299" spans="2:11" x14ac:dyDescent="0.3">
      <c r="B299" t="str">
        <f>TEXT(Exceptions[[#This Row],[Date]],"MMMM")</f>
        <v>January</v>
      </c>
      <c r="C299" s="145"/>
      <c r="D299" s="135"/>
      <c r="E299" s="135"/>
      <c r="F299" s="102"/>
      <c r="G299" s="102"/>
      <c r="H299" s="102"/>
      <c r="I299" s="42" t="str">
        <f>IF(OR(ISBLANK(Exceptions[[#This Row],[Start]]),ISBLANK(Exceptions[[#This Row],[End]])),"",(Exceptions[[#This Row],[End]]-Exceptions[[#This Row],[Start]])*1440)</f>
        <v/>
      </c>
      <c r="J299" s="42" t="str">
        <f>IF(ISBLANK(Exceptions[[#This Row],[Date]]),"",IF(Exceptions[[#This Row],[Activity]]="Instruction",Exceptions[[#This Row],[Elapsed]],0))</f>
        <v/>
      </c>
      <c r="K299" s="42" t="str">
        <f>IF(ISBLANK(Exceptions[[#This Row],[Activity]]),"",IF(_xlfn.XLOOKUP(Exceptions[[#This Row],[Activity]],Types_of_Activity[Type of Activity],Types_of_Activity[Classification])=2,Exceptions[[#This Row],[Elapsed]],0))</f>
        <v/>
      </c>
    </row>
    <row r="300" spans="2:11" x14ac:dyDescent="0.3">
      <c r="B300" t="str">
        <f>TEXT(Exceptions[[#This Row],[Date]],"MMMM")</f>
        <v>January</v>
      </c>
      <c r="C300" s="145"/>
      <c r="D300" s="135"/>
      <c r="E300" s="135"/>
      <c r="F300" s="102"/>
      <c r="G300" s="102"/>
      <c r="H300" s="102"/>
      <c r="I300" s="42" t="str">
        <f>IF(OR(ISBLANK(Exceptions[[#This Row],[Start]]),ISBLANK(Exceptions[[#This Row],[End]])),"",(Exceptions[[#This Row],[End]]-Exceptions[[#This Row],[Start]])*1440)</f>
        <v/>
      </c>
      <c r="J300" s="42" t="str">
        <f>IF(ISBLANK(Exceptions[[#This Row],[Date]]),"",IF(Exceptions[[#This Row],[Activity]]="Instruction",Exceptions[[#This Row],[Elapsed]],0))</f>
        <v/>
      </c>
      <c r="K300" s="42" t="str">
        <f>IF(ISBLANK(Exceptions[[#This Row],[Activity]]),"",IF(_xlfn.XLOOKUP(Exceptions[[#This Row],[Activity]],Types_of_Activity[Type of Activity],Types_of_Activity[Classification])=2,Exceptions[[#This Row],[Elapsed]],0))</f>
        <v/>
      </c>
    </row>
    <row r="301" spans="2:11" x14ac:dyDescent="0.3">
      <c r="B301" t="str">
        <f>TEXT(Exceptions[[#This Row],[Date]],"MMMM")</f>
        <v>January</v>
      </c>
      <c r="C301" s="145"/>
      <c r="D301" s="135"/>
      <c r="E301" s="135"/>
      <c r="F301" s="102"/>
      <c r="G301" s="102"/>
      <c r="H301" s="102"/>
      <c r="I301" s="42" t="str">
        <f>IF(OR(ISBLANK(Exceptions[[#This Row],[Start]]),ISBLANK(Exceptions[[#This Row],[End]])),"",(Exceptions[[#This Row],[End]]-Exceptions[[#This Row],[Start]])*1440)</f>
        <v/>
      </c>
      <c r="J301" s="42" t="str">
        <f>IF(ISBLANK(Exceptions[[#This Row],[Date]]),"",IF(Exceptions[[#This Row],[Activity]]="Instruction",Exceptions[[#This Row],[Elapsed]],0))</f>
        <v/>
      </c>
      <c r="K301" s="42" t="str">
        <f>IF(ISBLANK(Exceptions[[#This Row],[Activity]]),"",IF(_xlfn.XLOOKUP(Exceptions[[#This Row],[Activity]],Types_of_Activity[Type of Activity],Types_of_Activity[Classification])=2,Exceptions[[#This Row],[Elapsed]],0))</f>
        <v/>
      </c>
    </row>
    <row r="302" spans="2:11" x14ac:dyDescent="0.3">
      <c r="B302" t="str">
        <f>TEXT(Exceptions[[#This Row],[Date]],"MMMM")</f>
        <v>January</v>
      </c>
      <c r="C302" s="145"/>
      <c r="D302" s="135"/>
      <c r="E302" s="135"/>
      <c r="F302" s="102"/>
      <c r="G302" s="102"/>
      <c r="H302" s="102"/>
      <c r="I302" s="42" t="str">
        <f>IF(OR(ISBLANK(Exceptions[[#This Row],[Start]]),ISBLANK(Exceptions[[#This Row],[End]])),"",(Exceptions[[#This Row],[End]]-Exceptions[[#This Row],[Start]])*1440)</f>
        <v/>
      </c>
      <c r="J302" s="42" t="str">
        <f>IF(ISBLANK(Exceptions[[#This Row],[Date]]),"",IF(Exceptions[[#This Row],[Activity]]="Instruction",Exceptions[[#This Row],[Elapsed]],0))</f>
        <v/>
      </c>
      <c r="K302" s="42" t="str">
        <f>IF(ISBLANK(Exceptions[[#This Row],[Activity]]),"",IF(_xlfn.XLOOKUP(Exceptions[[#This Row],[Activity]],Types_of_Activity[Type of Activity],Types_of_Activity[Classification])=2,Exceptions[[#This Row],[Elapsed]],0))</f>
        <v/>
      </c>
    </row>
    <row r="303" spans="2:11" x14ac:dyDescent="0.3">
      <c r="B303" t="str">
        <f>TEXT(Exceptions[[#This Row],[Date]],"MMMM")</f>
        <v>January</v>
      </c>
      <c r="C303" s="145"/>
      <c r="D303" s="135"/>
      <c r="E303" s="135"/>
      <c r="F303" s="102"/>
      <c r="G303" s="102"/>
      <c r="H303" s="102"/>
      <c r="I303" s="42" t="str">
        <f>IF(OR(ISBLANK(Exceptions[[#This Row],[Start]]),ISBLANK(Exceptions[[#This Row],[End]])),"",(Exceptions[[#This Row],[End]]-Exceptions[[#This Row],[Start]])*1440)</f>
        <v/>
      </c>
      <c r="J303" s="42" t="str">
        <f>IF(ISBLANK(Exceptions[[#This Row],[Date]]),"",IF(Exceptions[[#This Row],[Activity]]="Instruction",Exceptions[[#This Row],[Elapsed]],0))</f>
        <v/>
      </c>
      <c r="K303" s="42" t="str">
        <f>IF(ISBLANK(Exceptions[[#This Row],[Activity]]),"",IF(_xlfn.XLOOKUP(Exceptions[[#This Row],[Activity]],Types_of_Activity[Type of Activity],Types_of_Activity[Classification])=2,Exceptions[[#This Row],[Elapsed]],0))</f>
        <v/>
      </c>
    </row>
    <row r="304" spans="2:11" x14ac:dyDescent="0.3">
      <c r="B304" t="str">
        <f>TEXT(Exceptions[[#This Row],[Date]],"MMMM")</f>
        <v>January</v>
      </c>
      <c r="C304" s="145"/>
      <c r="D304" s="135"/>
      <c r="E304" s="135"/>
      <c r="F304" s="102"/>
      <c r="G304" s="102"/>
      <c r="H304" s="102"/>
      <c r="I304" s="42" t="str">
        <f>IF(OR(ISBLANK(Exceptions[[#This Row],[Start]]),ISBLANK(Exceptions[[#This Row],[End]])),"",(Exceptions[[#This Row],[End]]-Exceptions[[#This Row],[Start]])*1440)</f>
        <v/>
      </c>
      <c r="J304" s="42" t="str">
        <f>IF(ISBLANK(Exceptions[[#This Row],[Date]]),"",IF(Exceptions[[#This Row],[Activity]]="Instruction",Exceptions[[#This Row],[Elapsed]],0))</f>
        <v/>
      </c>
      <c r="K304" s="42" t="str">
        <f>IF(ISBLANK(Exceptions[[#This Row],[Activity]]),"",IF(_xlfn.XLOOKUP(Exceptions[[#This Row],[Activity]],Types_of_Activity[Type of Activity],Types_of_Activity[Classification])=2,Exceptions[[#This Row],[Elapsed]],0))</f>
        <v/>
      </c>
    </row>
    <row r="305" spans="2:11" x14ac:dyDescent="0.3">
      <c r="B305" t="str">
        <f>TEXT(Exceptions[[#This Row],[Date]],"MMMM")</f>
        <v>January</v>
      </c>
      <c r="C305" s="145"/>
      <c r="D305" s="135"/>
      <c r="E305" s="135"/>
      <c r="F305" s="102"/>
      <c r="G305" s="102"/>
      <c r="H305" s="102"/>
      <c r="I305" s="42" t="str">
        <f>IF(OR(ISBLANK(Exceptions[[#This Row],[Start]]),ISBLANK(Exceptions[[#This Row],[End]])),"",(Exceptions[[#This Row],[End]]-Exceptions[[#This Row],[Start]])*1440)</f>
        <v/>
      </c>
      <c r="J305" s="42" t="str">
        <f>IF(ISBLANK(Exceptions[[#This Row],[Date]]),"",IF(Exceptions[[#This Row],[Activity]]="Instruction",Exceptions[[#This Row],[Elapsed]],0))</f>
        <v/>
      </c>
      <c r="K305" s="42" t="str">
        <f>IF(ISBLANK(Exceptions[[#This Row],[Activity]]),"",IF(_xlfn.XLOOKUP(Exceptions[[#This Row],[Activity]],Types_of_Activity[Type of Activity],Types_of_Activity[Classification])=2,Exceptions[[#This Row],[Elapsed]],0))</f>
        <v/>
      </c>
    </row>
    <row r="306" spans="2:11" x14ac:dyDescent="0.3">
      <c r="B306" t="str">
        <f>TEXT(Exceptions[[#This Row],[Date]],"MMMM")</f>
        <v>January</v>
      </c>
      <c r="C306" s="145"/>
      <c r="D306" s="135"/>
      <c r="E306" s="135"/>
      <c r="F306" s="102"/>
      <c r="G306" s="102"/>
      <c r="H306" s="102"/>
      <c r="I306" s="42" t="str">
        <f>IF(OR(ISBLANK(Exceptions[[#This Row],[Start]]),ISBLANK(Exceptions[[#This Row],[End]])),"",(Exceptions[[#This Row],[End]]-Exceptions[[#This Row],[Start]])*1440)</f>
        <v/>
      </c>
      <c r="J306" s="42" t="str">
        <f>IF(ISBLANK(Exceptions[[#This Row],[Date]]),"",IF(Exceptions[[#This Row],[Activity]]="Instruction",Exceptions[[#This Row],[Elapsed]],0))</f>
        <v/>
      </c>
      <c r="K306" s="42" t="str">
        <f>IF(ISBLANK(Exceptions[[#This Row],[Activity]]),"",IF(_xlfn.XLOOKUP(Exceptions[[#This Row],[Activity]],Types_of_Activity[Type of Activity],Types_of_Activity[Classification])=2,Exceptions[[#This Row],[Elapsed]],0))</f>
        <v/>
      </c>
    </row>
    <row r="307" spans="2:11" x14ac:dyDescent="0.3">
      <c r="B307" t="str">
        <f>TEXT(Exceptions[[#This Row],[Date]],"MMMM")</f>
        <v>January</v>
      </c>
      <c r="C307" s="145"/>
      <c r="D307" s="135"/>
      <c r="E307" s="135"/>
      <c r="F307" s="102"/>
      <c r="G307" s="102"/>
      <c r="H307" s="102"/>
      <c r="I307" s="42" t="str">
        <f>IF(OR(ISBLANK(Exceptions[[#This Row],[Start]]),ISBLANK(Exceptions[[#This Row],[End]])),"",(Exceptions[[#This Row],[End]]-Exceptions[[#This Row],[Start]])*1440)</f>
        <v/>
      </c>
      <c r="J307" s="42" t="str">
        <f>IF(ISBLANK(Exceptions[[#This Row],[Date]]),"",IF(Exceptions[[#This Row],[Activity]]="Instruction",Exceptions[[#This Row],[Elapsed]],0))</f>
        <v/>
      </c>
      <c r="K307" s="42" t="str">
        <f>IF(ISBLANK(Exceptions[[#This Row],[Activity]]),"",IF(_xlfn.XLOOKUP(Exceptions[[#This Row],[Activity]],Types_of_Activity[Type of Activity],Types_of_Activity[Classification])=2,Exceptions[[#This Row],[Elapsed]],0))</f>
        <v/>
      </c>
    </row>
    <row r="308" spans="2:11" x14ac:dyDescent="0.3">
      <c r="B308" t="str">
        <f>TEXT(Exceptions[[#This Row],[Date]],"MMMM")</f>
        <v>January</v>
      </c>
      <c r="C308" s="145"/>
      <c r="D308" s="135"/>
      <c r="E308" s="135"/>
      <c r="F308" s="102"/>
      <c r="G308" s="102"/>
      <c r="H308" s="102"/>
      <c r="I308" s="42" t="str">
        <f>IF(OR(ISBLANK(Exceptions[[#This Row],[Start]]),ISBLANK(Exceptions[[#This Row],[End]])),"",(Exceptions[[#This Row],[End]]-Exceptions[[#This Row],[Start]])*1440)</f>
        <v/>
      </c>
      <c r="J308" s="42" t="str">
        <f>IF(ISBLANK(Exceptions[[#This Row],[Date]]),"",IF(Exceptions[[#This Row],[Activity]]="Instruction",Exceptions[[#This Row],[Elapsed]],0))</f>
        <v/>
      </c>
      <c r="K308" s="42" t="str">
        <f>IF(ISBLANK(Exceptions[[#This Row],[Activity]]),"",IF(_xlfn.XLOOKUP(Exceptions[[#This Row],[Activity]],Types_of_Activity[Type of Activity],Types_of_Activity[Classification])=2,Exceptions[[#This Row],[Elapsed]],0))</f>
        <v/>
      </c>
    </row>
    <row r="309" spans="2:11" x14ac:dyDescent="0.3">
      <c r="B309" t="str">
        <f>TEXT(Exceptions[[#This Row],[Date]],"MMMM")</f>
        <v>January</v>
      </c>
      <c r="C309" s="145"/>
      <c r="D309" s="135"/>
      <c r="E309" s="135"/>
      <c r="F309" s="102"/>
      <c r="G309" s="102"/>
      <c r="H309" s="102"/>
      <c r="I309" s="42" t="str">
        <f>IF(OR(ISBLANK(Exceptions[[#This Row],[Start]]),ISBLANK(Exceptions[[#This Row],[End]])),"",(Exceptions[[#This Row],[End]]-Exceptions[[#This Row],[Start]])*1440)</f>
        <v/>
      </c>
      <c r="J309" s="42" t="str">
        <f>IF(ISBLANK(Exceptions[[#This Row],[Date]]),"",IF(Exceptions[[#This Row],[Activity]]="Instruction",Exceptions[[#This Row],[Elapsed]],0))</f>
        <v/>
      </c>
      <c r="K309" s="42" t="str">
        <f>IF(ISBLANK(Exceptions[[#This Row],[Activity]]),"",IF(_xlfn.XLOOKUP(Exceptions[[#This Row],[Activity]],Types_of_Activity[Type of Activity],Types_of_Activity[Classification])=2,Exceptions[[#This Row],[Elapsed]],0))</f>
        <v/>
      </c>
    </row>
    <row r="310" spans="2:11" x14ac:dyDescent="0.3">
      <c r="B310" t="str">
        <f>TEXT(Exceptions[[#This Row],[Date]],"MMMM")</f>
        <v>January</v>
      </c>
      <c r="C310" s="145"/>
      <c r="D310" s="135"/>
      <c r="E310" s="135"/>
      <c r="F310" s="102"/>
      <c r="G310" s="102"/>
      <c r="H310" s="102"/>
      <c r="I310" s="42" t="str">
        <f>IF(OR(ISBLANK(Exceptions[[#This Row],[Start]]),ISBLANK(Exceptions[[#This Row],[End]])),"",(Exceptions[[#This Row],[End]]-Exceptions[[#This Row],[Start]])*1440)</f>
        <v/>
      </c>
      <c r="J310" s="42" t="str">
        <f>IF(ISBLANK(Exceptions[[#This Row],[Date]]),"",IF(Exceptions[[#This Row],[Activity]]="Instruction",Exceptions[[#This Row],[Elapsed]],0))</f>
        <v/>
      </c>
      <c r="K310" s="42" t="str">
        <f>IF(ISBLANK(Exceptions[[#This Row],[Activity]]),"",IF(_xlfn.XLOOKUP(Exceptions[[#This Row],[Activity]],Types_of_Activity[Type of Activity],Types_of_Activity[Classification])=2,Exceptions[[#This Row],[Elapsed]],0))</f>
        <v/>
      </c>
    </row>
    <row r="311" spans="2:11" x14ac:dyDescent="0.3">
      <c r="B311" t="str">
        <f>TEXT(Exceptions[[#This Row],[Date]],"MMMM")</f>
        <v>January</v>
      </c>
      <c r="C311" s="145"/>
      <c r="D311" s="135"/>
      <c r="E311" s="135"/>
      <c r="F311" s="102"/>
      <c r="G311" s="102"/>
      <c r="H311" s="102"/>
      <c r="I311" s="42" t="str">
        <f>IF(OR(ISBLANK(Exceptions[[#This Row],[Start]]),ISBLANK(Exceptions[[#This Row],[End]])),"",(Exceptions[[#This Row],[End]]-Exceptions[[#This Row],[Start]])*1440)</f>
        <v/>
      </c>
      <c r="J311" s="42" t="str">
        <f>IF(ISBLANK(Exceptions[[#This Row],[Date]]),"",IF(Exceptions[[#This Row],[Activity]]="Instruction",Exceptions[[#This Row],[Elapsed]],0))</f>
        <v/>
      </c>
      <c r="K311" s="42" t="str">
        <f>IF(ISBLANK(Exceptions[[#This Row],[Activity]]),"",IF(_xlfn.XLOOKUP(Exceptions[[#This Row],[Activity]],Types_of_Activity[Type of Activity],Types_of_Activity[Classification])=2,Exceptions[[#This Row],[Elapsed]],0))</f>
        <v/>
      </c>
    </row>
    <row r="312" spans="2:11" x14ac:dyDescent="0.3">
      <c r="B312" t="str">
        <f>TEXT(Exceptions[[#This Row],[Date]],"MMMM")</f>
        <v>January</v>
      </c>
      <c r="C312" s="145"/>
      <c r="D312" s="135"/>
      <c r="E312" s="135"/>
      <c r="F312" s="102"/>
      <c r="G312" s="102"/>
      <c r="H312" s="102"/>
      <c r="I312" s="42" t="str">
        <f>IF(OR(ISBLANK(Exceptions[[#This Row],[Start]]),ISBLANK(Exceptions[[#This Row],[End]])),"",(Exceptions[[#This Row],[End]]-Exceptions[[#This Row],[Start]])*1440)</f>
        <v/>
      </c>
      <c r="J312" s="42" t="str">
        <f>IF(ISBLANK(Exceptions[[#This Row],[Date]]),"",IF(Exceptions[[#This Row],[Activity]]="Instruction",Exceptions[[#This Row],[Elapsed]],0))</f>
        <v/>
      </c>
      <c r="K312" s="42" t="str">
        <f>IF(ISBLANK(Exceptions[[#This Row],[Activity]]),"",IF(_xlfn.XLOOKUP(Exceptions[[#This Row],[Activity]],Types_of_Activity[Type of Activity],Types_of_Activity[Classification])=2,Exceptions[[#This Row],[Elapsed]],0))</f>
        <v/>
      </c>
    </row>
    <row r="313" spans="2:11" x14ac:dyDescent="0.3">
      <c r="B313" t="str">
        <f>TEXT(Exceptions[[#This Row],[Date]],"MMMM")</f>
        <v>January</v>
      </c>
      <c r="C313" s="145"/>
      <c r="D313" s="135"/>
      <c r="E313" s="135"/>
      <c r="F313" s="102"/>
      <c r="G313" s="102"/>
      <c r="H313" s="102"/>
      <c r="I313" s="42" t="str">
        <f>IF(OR(ISBLANK(Exceptions[[#This Row],[Start]]),ISBLANK(Exceptions[[#This Row],[End]])),"",(Exceptions[[#This Row],[End]]-Exceptions[[#This Row],[Start]])*1440)</f>
        <v/>
      </c>
      <c r="J313" s="42" t="str">
        <f>IF(ISBLANK(Exceptions[[#This Row],[Date]]),"",IF(Exceptions[[#This Row],[Activity]]="Instruction",Exceptions[[#This Row],[Elapsed]],0))</f>
        <v/>
      </c>
      <c r="K313" s="42" t="str">
        <f>IF(ISBLANK(Exceptions[[#This Row],[Activity]]),"",IF(_xlfn.XLOOKUP(Exceptions[[#This Row],[Activity]],Types_of_Activity[Type of Activity],Types_of_Activity[Classification])=2,Exceptions[[#This Row],[Elapsed]],0))</f>
        <v/>
      </c>
    </row>
    <row r="314" spans="2:11" x14ac:dyDescent="0.3">
      <c r="B314" t="str">
        <f>TEXT(Exceptions[[#This Row],[Date]],"MMMM")</f>
        <v>January</v>
      </c>
      <c r="C314" s="145"/>
      <c r="D314" s="135"/>
      <c r="E314" s="135"/>
      <c r="F314" s="102"/>
      <c r="G314" s="102"/>
      <c r="H314" s="102"/>
      <c r="I314" s="42" t="str">
        <f>IF(OR(ISBLANK(Exceptions[[#This Row],[Start]]),ISBLANK(Exceptions[[#This Row],[End]])),"",(Exceptions[[#This Row],[End]]-Exceptions[[#This Row],[Start]])*1440)</f>
        <v/>
      </c>
      <c r="J314" s="42" t="str">
        <f>IF(ISBLANK(Exceptions[[#This Row],[Date]]),"",IF(Exceptions[[#This Row],[Activity]]="Instruction",Exceptions[[#This Row],[Elapsed]],0))</f>
        <v/>
      </c>
      <c r="K314" s="42" t="str">
        <f>IF(ISBLANK(Exceptions[[#This Row],[Activity]]),"",IF(_xlfn.XLOOKUP(Exceptions[[#This Row],[Activity]],Types_of_Activity[Type of Activity],Types_of_Activity[Classification])=2,Exceptions[[#This Row],[Elapsed]],0))</f>
        <v/>
      </c>
    </row>
    <row r="315" spans="2:11" x14ac:dyDescent="0.3">
      <c r="B315" t="str">
        <f>TEXT(Exceptions[[#This Row],[Date]],"MMMM")</f>
        <v>January</v>
      </c>
      <c r="C315" s="145"/>
      <c r="D315" s="135"/>
      <c r="E315" s="135"/>
      <c r="F315" s="102"/>
      <c r="G315" s="102"/>
      <c r="H315" s="102"/>
      <c r="I315" s="42" t="str">
        <f>IF(OR(ISBLANK(Exceptions[[#This Row],[Start]]),ISBLANK(Exceptions[[#This Row],[End]])),"",(Exceptions[[#This Row],[End]]-Exceptions[[#This Row],[Start]])*1440)</f>
        <v/>
      </c>
      <c r="J315" s="42" t="str">
        <f>IF(ISBLANK(Exceptions[[#This Row],[Date]]),"",IF(Exceptions[[#This Row],[Activity]]="Instruction",Exceptions[[#This Row],[Elapsed]],0))</f>
        <v/>
      </c>
      <c r="K315" s="42" t="str">
        <f>IF(ISBLANK(Exceptions[[#This Row],[Activity]]),"",IF(_xlfn.XLOOKUP(Exceptions[[#This Row],[Activity]],Types_of_Activity[Type of Activity],Types_of_Activity[Classification])=2,Exceptions[[#This Row],[Elapsed]],0))</f>
        <v/>
      </c>
    </row>
    <row r="316" spans="2:11" x14ac:dyDescent="0.3">
      <c r="B316" t="str">
        <f>TEXT(Exceptions[[#This Row],[Date]],"MMMM")</f>
        <v>January</v>
      </c>
      <c r="C316" s="145"/>
      <c r="D316" s="135"/>
      <c r="E316" s="135"/>
      <c r="F316" s="102"/>
      <c r="G316" s="102"/>
      <c r="H316" s="102"/>
      <c r="I316" s="42" t="str">
        <f>IF(OR(ISBLANK(Exceptions[[#This Row],[Start]]),ISBLANK(Exceptions[[#This Row],[End]])),"",(Exceptions[[#This Row],[End]]-Exceptions[[#This Row],[Start]])*1440)</f>
        <v/>
      </c>
      <c r="J316" s="42" t="str">
        <f>IF(ISBLANK(Exceptions[[#This Row],[Date]]),"",IF(Exceptions[[#This Row],[Activity]]="Instruction",Exceptions[[#This Row],[Elapsed]],0))</f>
        <v/>
      </c>
      <c r="K316" s="42" t="str">
        <f>IF(ISBLANK(Exceptions[[#This Row],[Activity]]),"",IF(_xlfn.XLOOKUP(Exceptions[[#This Row],[Activity]],Types_of_Activity[Type of Activity],Types_of_Activity[Classification])=2,Exceptions[[#This Row],[Elapsed]],0))</f>
        <v/>
      </c>
    </row>
    <row r="317" spans="2:11" x14ac:dyDescent="0.3">
      <c r="B317" t="str">
        <f>TEXT(Exceptions[[#This Row],[Date]],"MMMM")</f>
        <v>January</v>
      </c>
      <c r="C317" s="145"/>
      <c r="D317" s="135"/>
      <c r="E317" s="135"/>
      <c r="F317" s="102"/>
      <c r="G317" s="102"/>
      <c r="H317" s="102"/>
      <c r="I317" s="42" t="str">
        <f>IF(OR(ISBLANK(Exceptions[[#This Row],[Start]]),ISBLANK(Exceptions[[#This Row],[End]])),"",(Exceptions[[#This Row],[End]]-Exceptions[[#This Row],[Start]])*1440)</f>
        <v/>
      </c>
      <c r="J317" s="42" t="str">
        <f>IF(ISBLANK(Exceptions[[#This Row],[Date]]),"",IF(Exceptions[[#This Row],[Activity]]="Instruction",Exceptions[[#This Row],[Elapsed]],0))</f>
        <v/>
      </c>
      <c r="K317" s="42" t="str">
        <f>IF(ISBLANK(Exceptions[[#This Row],[Activity]]),"",IF(_xlfn.XLOOKUP(Exceptions[[#This Row],[Activity]],Types_of_Activity[Type of Activity],Types_of_Activity[Classification])=2,Exceptions[[#This Row],[Elapsed]],0))</f>
        <v/>
      </c>
    </row>
    <row r="318" spans="2:11" x14ac:dyDescent="0.3">
      <c r="B318" t="str">
        <f>TEXT(Exceptions[[#This Row],[Date]],"MMMM")</f>
        <v>January</v>
      </c>
      <c r="C318" s="145"/>
      <c r="D318" s="135"/>
      <c r="E318" s="135"/>
      <c r="F318" s="102"/>
      <c r="G318" s="102"/>
      <c r="H318" s="102"/>
      <c r="I318" s="42" t="str">
        <f>IF(OR(ISBLANK(Exceptions[[#This Row],[Start]]),ISBLANK(Exceptions[[#This Row],[End]])),"",(Exceptions[[#This Row],[End]]-Exceptions[[#This Row],[Start]])*1440)</f>
        <v/>
      </c>
      <c r="J318" s="42" t="str">
        <f>IF(ISBLANK(Exceptions[[#This Row],[Date]]),"",IF(Exceptions[[#This Row],[Activity]]="Instruction",Exceptions[[#This Row],[Elapsed]],0))</f>
        <v/>
      </c>
      <c r="K318" s="42" t="str">
        <f>IF(ISBLANK(Exceptions[[#This Row],[Activity]]),"",IF(_xlfn.XLOOKUP(Exceptions[[#This Row],[Activity]],Types_of_Activity[Type of Activity],Types_of_Activity[Classification])=2,Exceptions[[#This Row],[Elapsed]],0))</f>
        <v/>
      </c>
    </row>
    <row r="319" spans="2:11" x14ac:dyDescent="0.3">
      <c r="B319" t="str">
        <f>TEXT(Exceptions[[#This Row],[Date]],"MMMM")</f>
        <v>January</v>
      </c>
      <c r="C319" s="145"/>
      <c r="D319" s="135"/>
      <c r="E319" s="135"/>
      <c r="F319" s="102"/>
      <c r="G319" s="102"/>
      <c r="H319" s="102"/>
      <c r="I319" s="42" t="str">
        <f>IF(OR(ISBLANK(Exceptions[[#This Row],[Start]]),ISBLANK(Exceptions[[#This Row],[End]])),"",(Exceptions[[#This Row],[End]]-Exceptions[[#This Row],[Start]])*1440)</f>
        <v/>
      </c>
      <c r="J319" s="42" t="str">
        <f>IF(ISBLANK(Exceptions[[#This Row],[Date]]),"",IF(Exceptions[[#This Row],[Activity]]="Instruction",Exceptions[[#This Row],[Elapsed]],0))</f>
        <v/>
      </c>
      <c r="K319" s="42" t="str">
        <f>IF(ISBLANK(Exceptions[[#This Row],[Activity]]),"",IF(_xlfn.XLOOKUP(Exceptions[[#This Row],[Activity]],Types_of_Activity[Type of Activity],Types_of_Activity[Classification])=2,Exceptions[[#This Row],[Elapsed]],0))</f>
        <v/>
      </c>
    </row>
    <row r="320" spans="2:11" x14ac:dyDescent="0.3">
      <c r="B320" t="str">
        <f>TEXT(Exceptions[[#This Row],[Date]],"MMMM")</f>
        <v>January</v>
      </c>
      <c r="C320" s="145"/>
      <c r="D320" s="135"/>
      <c r="E320" s="135"/>
      <c r="F320" s="102"/>
      <c r="G320" s="102"/>
      <c r="H320" s="102"/>
      <c r="I320" s="42" t="str">
        <f>IF(OR(ISBLANK(Exceptions[[#This Row],[Start]]),ISBLANK(Exceptions[[#This Row],[End]])),"",(Exceptions[[#This Row],[End]]-Exceptions[[#This Row],[Start]])*1440)</f>
        <v/>
      </c>
      <c r="J320" s="42" t="str">
        <f>IF(ISBLANK(Exceptions[[#This Row],[Date]]),"",IF(Exceptions[[#This Row],[Activity]]="Instruction",Exceptions[[#This Row],[Elapsed]],0))</f>
        <v/>
      </c>
      <c r="K320" s="42" t="str">
        <f>IF(ISBLANK(Exceptions[[#This Row],[Activity]]),"",IF(_xlfn.XLOOKUP(Exceptions[[#This Row],[Activity]],Types_of_Activity[Type of Activity],Types_of_Activity[Classification])=2,Exceptions[[#This Row],[Elapsed]],0))</f>
        <v/>
      </c>
    </row>
    <row r="321" spans="2:11" x14ac:dyDescent="0.3">
      <c r="B321" t="str">
        <f>TEXT(Exceptions[[#This Row],[Date]],"MMMM")</f>
        <v>January</v>
      </c>
      <c r="C321" s="145"/>
      <c r="D321" s="135"/>
      <c r="E321" s="135"/>
      <c r="F321" s="102"/>
      <c r="G321" s="102"/>
      <c r="H321" s="102"/>
      <c r="I321" s="42" t="str">
        <f>IF(OR(ISBLANK(Exceptions[[#This Row],[Start]]),ISBLANK(Exceptions[[#This Row],[End]])),"",(Exceptions[[#This Row],[End]]-Exceptions[[#This Row],[Start]])*1440)</f>
        <v/>
      </c>
      <c r="J321" s="42" t="str">
        <f>IF(ISBLANK(Exceptions[[#This Row],[Date]]),"",IF(Exceptions[[#This Row],[Activity]]="Instruction",Exceptions[[#This Row],[Elapsed]],0))</f>
        <v/>
      </c>
      <c r="K321" s="42" t="str">
        <f>IF(ISBLANK(Exceptions[[#This Row],[Activity]]),"",IF(_xlfn.XLOOKUP(Exceptions[[#This Row],[Activity]],Types_of_Activity[Type of Activity],Types_of_Activity[Classification])=2,Exceptions[[#This Row],[Elapsed]],0))</f>
        <v/>
      </c>
    </row>
    <row r="322" spans="2:11" x14ac:dyDescent="0.3">
      <c r="B322" t="str">
        <f>TEXT(Exceptions[[#This Row],[Date]],"MMMM")</f>
        <v>January</v>
      </c>
      <c r="C322" s="145"/>
      <c r="D322" s="135"/>
      <c r="E322" s="135"/>
      <c r="F322" s="102"/>
      <c r="G322" s="102"/>
      <c r="H322" s="102"/>
      <c r="I322" s="42" t="str">
        <f>IF(OR(ISBLANK(Exceptions[[#This Row],[Start]]),ISBLANK(Exceptions[[#This Row],[End]])),"",(Exceptions[[#This Row],[End]]-Exceptions[[#This Row],[Start]])*1440)</f>
        <v/>
      </c>
      <c r="J322" s="42" t="str">
        <f>IF(ISBLANK(Exceptions[[#This Row],[Date]]),"",IF(Exceptions[[#This Row],[Activity]]="Instruction",Exceptions[[#This Row],[Elapsed]],0))</f>
        <v/>
      </c>
      <c r="K322" s="42" t="str">
        <f>IF(ISBLANK(Exceptions[[#This Row],[Activity]]),"",IF(_xlfn.XLOOKUP(Exceptions[[#This Row],[Activity]],Types_of_Activity[Type of Activity],Types_of_Activity[Classification])=2,Exceptions[[#This Row],[Elapsed]],0))</f>
        <v/>
      </c>
    </row>
    <row r="323" spans="2:11" x14ac:dyDescent="0.3">
      <c r="B323" t="str">
        <f>TEXT(Exceptions[[#This Row],[Date]],"MMMM")</f>
        <v>January</v>
      </c>
      <c r="C323" s="145"/>
      <c r="D323" s="135"/>
      <c r="E323" s="135"/>
      <c r="F323" s="102"/>
      <c r="G323" s="102"/>
      <c r="H323" s="102"/>
      <c r="I323" s="42" t="str">
        <f>IF(OR(ISBLANK(Exceptions[[#This Row],[Start]]),ISBLANK(Exceptions[[#This Row],[End]])),"",(Exceptions[[#This Row],[End]]-Exceptions[[#This Row],[Start]])*1440)</f>
        <v/>
      </c>
      <c r="J323" s="42" t="str">
        <f>IF(ISBLANK(Exceptions[[#This Row],[Date]]),"",IF(Exceptions[[#This Row],[Activity]]="Instruction",Exceptions[[#This Row],[Elapsed]],0))</f>
        <v/>
      </c>
      <c r="K323" s="42" t="str">
        <f>IF(ISBLANK(Exceptions[[#This Row],[Activity]]),"",IF(_xlfn.XLOOKUP(Exceptions[[#This Row],[Activity]],Types_of_Activity[Type of Activity],Types_of_Activity[Classification])=2,Exceptions[[#This Row],[Elapsed]],0))</f>
        <v/>
      </c>
    </row>
    <row r="324" spans="2:11" x14ac:dyDescent="0.3">
      <c r="B324" t="str">
        <f>TEXT(Exceptions[[#This Row],[Date]],"MMMM")</f>
        <v>January</v>
      </c>
      <c r="C324" s="145"/>
      <c r="D324" s="135"/>
      <c r="E324" s="135"/>
      <c r="F324" s="102"/>
      <c r="G324" s="102"/>
      <c r="H324" s="102"/>
      <c r="I324" s="42" t="str">
        <f>IF(OR(ISBLANK(Exceptions[[#This Row],[Start]]),ISBLANK(Exceptions[[#This Row],[End]])),"",(Exceptions[[#This Row],[End]]-Exceptions[[#This Row],[Start]])*1440)</f>
        <v/>
      </c>
      <c r="J324" s="42" t="str">
        <f>IF(ISBLANK(Exceptions[[#This Row],[Date]]),"",IF(Exceptions[[#This Row],[Activity]]="Instruction",Exceptions[[#This Row],[Elapsed]],0))</f>
        <v/>
      </c>
      <c r="K324" s="42" t="str">
        <f>IF(ISBLANK(Exceptions[[#This Row],[Activity]]),"",IF(_xlfn.XLOOKUP(Exceptions[[#This Row],[Activity]],Types_of_Activity[Type of Activity],Types_of_Activity[Classification])=2,Exceptions[[#This Row],[Elapsed]],0))</f>
        <v/>
      </c>
    </row>
    <row r="325" spans="2:11" x14ac:dyDescent="0.3">
      <c r="B325" t="str">
        <f>TEXT(Exceptions[[#This Row],[Date]],"MMMM")</f>
        <v>January</v>
      </c>
      <c r="C325" s="145"/>
      <c r="D325" s="135"/>
      <c r="E325" s="135"/>
      <c r="F325" s="102"/>
      <c r="G325" s="102"/>
      <c r="H325" s="102"/>
      <c r="I325" s="42" t="str">
        <f>IF(OR(ISBLANK(Exceptions[[#This Row],[Start]]),ISBLANK(Exceptions[[#This Row],[End]])),"",(Exceptions[[#This Row],[End]]-Exceptions[[#This Row],[Start]])*1440)</f>
        <v/>
      </c>
      <c r="J325" s="42" t="str">
        <f>IF(ISBLANK(Exceptions[[#This Row],[Date]]),"",IF(Exceptions[[#This Row],[Activity]]="Instruction",Exceptions[[#This Row],[Elapsed]],0))</f>
        <v/>
      </c>
      <c r="K325" s="42" t="str">
        <f>IF(ISBLANK(Exceptions[[#This Row],[Activity]]),"",IF(_xlfn.XLOOKUP(Exceptions[[#This Row],[Activity]],Types_of_Activity[Type of Activity],Types_of_Activity[Classification])=2,Exceptions[[#This Row],[Elapsed]],0))</f>
        <v/>
      </c>
    </row>
    <row r="326" spans="2:11" x14ac:dyDescent="0.3">
      <c r="B326" t="str">
        <f>TEXT(Exceptions[[#This Row],[Date]],"MMMM")</f>
        <v>January</v>
      </c>
      <c r="C326" s="145"/>
      <c r="D326" s="135"/>
      <c r="E326" s="135"/>
      <c r="F326" s="102"/>
      <c r="G326" s="102"/>
      <c r="H326" s="102"/>
      <c r="I326" s="42" t="str">
        <f>IF(OR(ISBLANK(Exceptions[[#This Row],[Start]]),ISBLANK(Exceptions[[#This Row],[End]])),"",(Exceptions[[#This Row],[End]]-Exceptions[[#This Row],[Start]])*1440)</f>
        <v/>
      </c>
      <c r="J326" s="42" t="str">
        <f>IF(ISBLANK(Exceptions[[#This Row],[Date]]),"",IF(Exceptions[[#This Row],[Activity]]="Instruction",Exceptions[[#This Row],[Elapsed]],0))</f>
        <v/>
      </c>
      <c r="K326" s="42" t="str">
        <f>IF(ISBLANK(Exceptions[[#This Row],[Activity]]),"",IF(_xlfn.XLOOKUP(Exceptions[[#This Row],[Activity]],Types_of_Activity[Type of Activity],Types_of_Activity[Classification])=2,Exceptions[[#This Row],[Elapsed]],0))</f>
        <v/>
      </c>
    </row>
    <row r="327" spans="2:11" x14ac:dyDescent="0.3">
      <c r="B327" t="str">
        <f>TEXT(Exceptions[[#This Row],[Date]],"MMMM")</f>
        <v>January</v>
      </c>
      <c r="C327" s="145"/>
      <c r="D327" s="135"/>
      <c r="E327" s="135"/>
      <c r="F327" s="102"/>
      <c r="G327" s="102"/>
      <c r="H327" s="102"/>
      <c r="I327" s="42" t="str">
        <f>IF(OR(ISBLANK(Exceptions[[#This Row],[Start]]),ISBLANK(Exceptions[[#This Row],[End]])),"",(Exceptions[[#This Row],[End]]-Exceptions[[#This Row],[Start]])*1440)</f>
        <v/>
      </c>
      <c r="J327" s="42" t="str">
        <f>IF(ISBLANK(Exceptions[[#This Row],[Date]]),"",IF(Exceptions[[#This Row],[Activity]]="Instruction",Exceptions[[#This Row],[Elapsed]],0))</f>
        <v/>
      </c>
      <c r="K327" s="42" t="str">
        <f>IF(ISBLANK(Exceptions[[#This Row],[Activity]]),"",IF(_xlfn.XLOOKUP(Exceptions[[#This Row],[Activity]],Types_of_Activity[Type of Activity],Types_of_Activity[Classification])=2,Exceptions[[#This Row],[Elapsed]],0))</f>
        <v/>
      </c>
    </row>
    <row r="328" spans="2:11" x14ac:dyDescent="0.3">
      <c r="B328" t="str">
        <f>TEXT(Exceptions[[#This Row],[Date]],"MMMM")</f>
        <v>January</v>
      </c>
      <c r="C328" s="145"/>
      <c r="D328" s="135"/>
      <c r="E328" s="135"/>
      <c r="F328" s="102"/>
      <c r="G328" s="102"/>
      <c r="H328" s="102"/>
      <c r="I328" s="42" t="str">
        <f>IF(OR(ISBLANK(Exceptions[[#This Row],[Start]]),ISBLANK(Exceptions[[#This Row],[End]])),"",(Exceptions[[#This Row],[End]]-Exceptions[[#This Row],[Start]])*1440)</f>
        <v/>
      </c>
      <c r="J328" s="42" t="str">
        <f>IF(ISBLANK(Exceptions[[#This Row],[Date]]),"",IF(Exceptions[[#This Row],[Activity]]="Instruction",Exceptions[[#This Row],[Elapsed]],0))</f>
        <v/>
      </c>
      <c r="K328" s="42" t="str">
        <f>IF(ISBLANK(Exceptions[[#This Row],[Activity]]),"",IF(_xlfn.XLOOKUP(Exceptions[[#This Row],[Activity]],Types_of_Activity[Type of Activity],Types_of_Activity[Classification])=2,Exceptions[[#This Row],[Elapsed]],0))</f>
        <v/>
      </c>
    </row>
    <row r="329" spans="2:11" x14ac:dyDescent="0.3">
      <c r="B329" t="str">
        <f>TEXT(Exceptions[[#This Row],[Date]],"MMMM")</f>
        <v>January</v>
      </c>
      <c r="C329" s="145"/>
      <c r="D329" s="135"/>
      <c r="E329" s="135"/>
      <c r="F329" s="102"/>
      <c r="G329" s="102"/>
      <c r="H329" s="102"/>
      <c r="I329" s="42" t="str">
        <f>IF(OR(ISBLANK(Exceptions[[#This Row],[Start]]),ISBLANK(Exceptions[[#This Row],[End]])),"",(Exceptions[[#This Row],[End]]-Exceptions[[#This Row],[Start]])*1440)</f>
        <v/>
      </c>
      <c r="J329" s="42" t="str">
        <f>IF(ISBLANK(Exceptions[[#This Row],[Date]]),"",IF(Exceptions[[#This Row],[Activity]]="Instruction",Exceptions[[#This Row],[Elapsed]],0))</f>
        <v/>
      </c>
      <c r="K329" s="42" t="str">
        <f>IF(ISBLANK(Exceptions[[#This Row],[Activity]]),"",IF(_xlfn.XLOOKUP(Exceptions[[#This Row],[Activity]],Types_of_Activity[Type of Activity],Types_of_Activity[Classification])=2,Exceptions[[#This Row],[Elapsed]],0))</f>
        <v/>
      </c>
    </row>
    <row r="330" spans="2:11" x14ac:dyDescent="0.3">
      <c r="B330" t="str">
        <f>TEXT(Exceptions[[#This Row],[Date]],"MMMM")</f>
        <v>January</v>
      </c>
      <c r="C330" s="145"/>
      <c r="D330" s="135"/>
      <c r="E330" s="135"/>
      <c r="F330" s="102"/>
      <c r="G330" s="102"/>
      <c r="H330" s="102"/>
      <c r="I330" s="42" t="str">
        <f>IF(OR(ISBLANK(Exceptions[[#This Row],[Start]]),ISBLANK(Exceptions[[#This Row],[End]])),"",(Exceptions[[#This Row],[End]]-Exceptions[[#This Row],[Start]])*1440)</f>
        <v/>
      </c>
      <c r="J330" s="42" t="str">
        <f>IF(ISBLANK(Exceptions[[#This Row],[Date]]),"",IF(Exceptions[[#This Row],[Activity]]="Instruction",Exceptions[[#This Row],[Elapsed]],0))</f>
        <v/>
      </c>
      <c r="K330" s="42" t="str">
        <f>IF(ISBLANK(Exceptions[[#This Row],[Activity]]),"",IF(_xlfn.XLOOKUP(Exceptions[[#This Row],[Activity]],Types_of_Activity[Type of Activity],Types_of_Activity[Classification])=2,Exceptions[[#This Row],[Elapsed]],0))</f>
        <v/>
      </c>
    </row>
    <row r="331" spans="2:11" x14ac:dyDescent="0.3">
      <c r="B331" t="str">
        <f>TEXT(Exceptions[[#This Row],[Date]],"MMMM")</f>
        <v>January</v>
      </c>
      <c r="C331" s="145"/>
      <c r="D331" s="135"/>
      <c r="E331" s="135"/>
      <c r="F331" s="102"/>
      <c r="G331" s="102"/>
      <c r="H331" s="102"/>
      <c r="I331" s="42" t="str">
        <f>IF(OR(ISBLANK(Exceptions[[#This Row],[Start]]),ISBLANK(Exceptions[[#This Row],[End]])),"",(Exceptions[[#This Row],[End]]-Exceptions[[#This Row],[Start]])*1440)</f>
        <v/>
      </c>
      <c r="J331" s="42" t="str">
        <f>IF(ISBLANK(Exceptions[[#This Row],[Date]]),"",IF(Exceptions[[#This Row],[Activity]]="Instruction",Exceptions[[#This Row],[Elapsed]],0))</f>
        <v/>
      </c>
      <c r="K331" s="42" t="str">
        <f>IF(ISBLANK(Exceptions[[#This Row],[Activity]]),"",IF(_xlfn.XLOOKUP(Exceptions[[#This Row],[Activity]],Types_of_Activity[Type of Activity],Types_of_Activity[Classification])=2,Exceptions[[#This Row],[Elapsed]],0))</f>
        <v/>
      </c>
    </row>
    <row r="332" spans="2:11" x14ac:dyDescent="0.3">
      <c r="B332" t="str">
        <f>TEXT(Exceptions[[#This Row],[Date]],"MMMM")</f>
        <v>January</v>
      </c>
      <c r="C332" s="145"/>
      <c r="D332" s="135"/>
      <c r="E332" s="135"/>
      <c r="F332" s="102"/>
      <c r="G332" s="102"/>
      <c r="H332" s="102"/>
      <c r="I332" s="42" t="str">
        <f>IF(OR(ISBLANK(Exceptions[[#This Row],[Start]]),ISBLANK(Exceptions[[#This Row],[End]])),"",(Exceptions[[#This Row],[End]]-Exceptions[[#This Row],[Start]])*1440)</f>
        <v/>
      </c>
      <c r="J332" s="42" t="str">
        <f>IF(ISBLANK(Exceptions[[#This Row],[Date]]),"",IF(Exceptions[[#This Row],[Activity]]="Instruction",Exceptions[[#This Row],[Elapsed]],0))</f>
        <v/>
      </c>
      <c r="K332" s="42" t="str">
        <f>IF(ISBLANK(Exceptions[[#This Row],[Activity]]),"",IF(_xlfn.XLOOKUP(Exceptions[[#This Row],[Activity]],Types_of_Activity[Type of Activity],Types_of_Activity[Classification])=2,Exceptions[[#This Row],[Elapsed]],0))</f>
        <v/>
      </c>
    </row>
    <row r="333" spans="2:11" x14ac:dyDescent="0.3">
      <c r="B333" t="str">
        <f>TEXT(Exceptions[[#This Row],[Date]],"MMMM")</f>
        <v>January</v>
      </c>
      <c r="C333" s="145"/>
      <c r="D333" s="135"/>
      <c r="E333" s="135"/>
      <c r="F333" s="102"/>
      <c r="G333" s="102"/>
      <c r="H333" s="102"/>
      <c r="I333" s="42" t="str">
        <f>IF(OR(ISBLANK(Exceptions[[#This Row],[Start]]),ISBLANK(Exceptions[[#This Row],[End]])),"",(Exceptions[[#This Row],[End]]-Exceptions[[#This Row],[Start]])*1440)</f>
        <v/>
      </c>
      <c r="J333" s="42" t="str">
        <f>IF(ISBLANK(Exceptions[[#This Row],[Date]]),"",IF(Exceptions[[#This Row],[Activity]]="Instruction",Exceptions[[#This Row],[Elapsed]],0))</f>
        <v/>
      </c>
      <c r="K333" s="42" t="str">
        <f>IF(ISBLANK(Exceptions[[#This Row],[Activity]]),"",IF(_xlfn.XLOOKUP(Exceptions[[#This Row],[Activity]],Types_of_Activity[Type of Activity],Types_of_Activity[Classification])=2,Exceptions[[#This Row],[Elapsed]],0))</f>
        <v/>
      </c>
    </row>
    <row r="334" spans="2:11" x14ac:dyDescent="0.3">
      <c r="B334" t="str">
        <f>TEXT(Exceptions[[#This Row],[Date]],"MMMM")</f>
        <v>January</v>
      </c>
      <c r="C334" s="145"/>
      <c r="D334" s="135"/>
      <c r="E334" s="135"/>
      <c r="F334" s="102"/>
      <c r="G334" s="102"/>
      <c r="H334" s="102"/>
      <c r="I334" s="42" t="str">
        <f>IF(OR(ISBLANK(Exceptions[[#This Row],[Start]]),ISBLANK(Exceptions[[#This Row],[End]])),"",(Exceptions[[#This Row],[End]]-Exceptions[[#This Row],[Start]])*1440)</f>
        <v/>
      </c>
      <c r="J334" s="42" t="str">
        <f>IF(ISBLANK(Exceptions[[#This Row],[Date]]),"",IF(Exceptions[[#This Row],[Activity]]="Instruction",Exceptions[[#This Row],[Elapsed]],0))</f>
        <v/>
      </c>
      <c r="K334" s="42" t="str">
        <f>IF(ISBLANK(Exceptions[[#This Row],[Activity]]),"",IF(_xlfn.XLOOKUP(Exceptions[[#This Row],[Activity]],Types_of_Activity[Type of Activity],Types_of_Activity[Classification])=2,Exceptions[[#This Row],[Elapsed]],0))</f>
        <v/>
      </c>
    </row>
    <row r="335" spans="2:11" x14ac:dyDescent="0.3">
      <c r="B335" t="str">
        <f>TEXT(Exceptions[[#This Row],[Date]],"MMMM")</f>
        <v>January</v>
      </c>
      <c r="C335" s="145"/>
      <c r="D335" s="135"/>
      <c r="E335" s="135"/>
      <c r="F335" s="102"/>
      <c r="G335" s="102"/>
      <c r="H335" s="102"/>
      <c r="I335" s="42" t="str">
        <f>IF(OR(ISBLANK(Exceptions[[#This Row],[Start]]),ISBLANK(Exceptions[[#This Row],[End]])),"",(Exceptions[[#This Row],[End]]-Exceptions[[#This Row],[Start]])*1440)</f>
        <v/>
      </c>
      <c r="J335" s="42" t="str">
        <f>IF(ISBLANK(Exceptions[[#This Row],[Date]]),"",IF(Exceptions[[#This Row],[Activity]]="Instruction",Exceptions[[#This Row],[Elapsed]],0))</f>
        <v/>
      </c>
      <c r="K335" s="42" t="str">
        <f>IF(ISBLANK(Exceptions[[#This Row],[Activity]]),"",IF(_xlfn.XLOOKUP(Exceptions[[#This Row],[Activity]],Types_of_Activity[Type of Activity],Types_of_Activity[Classification])=2,Exceptions[[#This Row],[Elapsed]],0))</f>
        <v/>
      </c>
    </row>
    <row r="336" spans="2:11" x14ac:dyDescent="0.3">
      <c r="B336" t="str">
        <f>TEXT(Exceptions[[#This Row],[Date]],"MMMM")</f>
        <v>January</v>
      </c>
      <c r="C336" s="145"/>
      <c r="D336" s="135"/>
      <c r="E336" s="135"/>
      <c r="F336" s="102"/>
      <c r="G336" s="102"/>
      <c r="H336" s="102"/>
      <c r="I336" s="42" t="str">
        <f>IF(OR(ISBLANK(Exceptions[[#This Row],[Start]]),ISBLANK(Exceptions[[#This Row],[End]])),"",(Exceptions[[#This Row],[End]]-Exceptions[[#This Row],[Start]])*1440)</f>
        <v/>
      </c>
      <c r="J336" s="42" t="str">
        <f>IF(ISBLANK(Exceptions[[#This Row],[Date]]),"",IF(Exceptions[[#This Row],[Activity]]="Instruction",Exceptions[[#This Row],[Elapsed]],0))</f>
        <v/>
      </c>
      <c r="K336" s="42" t="str">
        <f>IF(ISBLANK(Exceptions[[#This Row],[Activity]]),"",IF(_xlfn.XLOOKUP(Exceptions[[#This Row],[Activity]],Types_of_Activity[Type of Activity],Types_of_Activity[Classification])=2,Exceptions[[#This Row],[Elapsed]],0))</f>
        <v/>
      </c>
    </row>
    <row r="337" spans="2:11" x14ac:dyDescent="0.3">
      <c r="B337" t="str">
        <f>TEXT(Exceptions[[#This Row],[Date]],"MMMM")</f>
        <v>January</v>
      </c>
      <c r="C337" s="145"/>
      <c r="D337" s="135"/>
      <c r="E337" s="135"/>
      <c r="F337" s="102"/>
      <c r="G337" s="102"/>
      <c r="H337" s="102"/>
      <c r="I337" s="42" t="str">
        <f>IF(OR(ISBLANK(Exceptions[[#This Row],[Start]]),ISBLANK(Exceptions[[#This Row],[End]])),"",(Exceptions[[#This Row],[End]]-Exceptions[[#This Row],[Start]])*1440)</f>
        <v/>
      </c>
      <c r="J337" s="42" t="str">
        <f>IF(ISBLANK(Exceptions[[#This Row],[Date]]),"",IF(Exceptions[[#This Row],[Activity]]="Instruction",Exceptions[[#This Row],[Elapsed]],0))</f>
        <v/>
      </c>
      <c r="K337" s="42" t="str">
        <f>IF(ISBLANK(Exceptions[[#This Row],[Activity]]),"",IF(_xlfn.XLOOKUP(Exceptions[[#This Row],[Activity]],Types_of_Activity[Type of Activity],Types_of_Activity[Classification])=2,Exceptions[[#This Row],[Elapsed]],0))</f>
        <v/>
      </c>
    </row>
    <row r="338" spans="2:11" x14ac:dyDescent="0.3">
      <c r="B338" t="str">
        <f>TEXT(Exceptions[[#This Row],[Date]],"MMMM")</f>
        <v>January</v>
      </c>
      <c r="C338" s="145"/>
      <c r="D338" s="135"/>
      <c r="E338" s="135"/>
      <c r="F338" s="102"/>
      <c r="G338" s="102"/>
      <c r="H338" s="102"/>
      <c r="I338" s="42" t="str">
        <f>IF(OR(ISBLANK(Exceptions[[#This Row],[Start]]),ISBLANK(Exceptions[[#This Row],[End]])),"",(Exceptions[[#This Row],[End]]-Exceptions[[#This Row],[Start]])*1440)</f>
        <v/>
      </c>
      <c r="J338" s="42" t="str">
        <f>IF(ISBLANK(Exceptions[[#This Row],[Date]]),"",IF(Exceptions[[#This Row],[Activity]]="Instruction",Exceptions[[#This Row],[Elapsed]],0))</f>
        <v/>
      </c>
      <c r="K338" s="42" t="str">
        <f>IF(ISBLANK(Exceptions[[#This Row],[Activity]]),"",IF(_xlfn.XLOOKUP(Exceptions[[#This Row],[Activity]],Types_of_Activity[Type of Activity],Types_of_Activity[Classification])=2,Exceptions[[#This Row],[Elapsed]],0))</f>
        <v/>
      </c>
    </row>
    <row r="339" spans="2:11" x14ac:dyDescent="0.3">
      <c r="B339" t="str">
        <f>TEXT(Exceptions[[#This Row],[Date]],"MMMM")</f>
        <v>January</v>
      </c>
      <c r="C339" s="145"/>
      <c r="D339" s="135"/>
      <c r="E339" s="135"/>
      <c r="F339" s="102"/>
      <c r="G339" s="102"/>
      <c r="H339" s="102"/>
      <c r="I339" s="42" t="str">
        <f>IF(OR(ISBLANK(Exceptions[[#This Row],[Start]]),ISBLANK(Exceptions[[#This Row],[End]])),"",(Exceptions[[#This Row],[End]]-Exceptions[[#This Row],[Start]])*1440)</f>
        <v/>
      </c>
      <c r="J339" s="42" t="str">
        <f>IF(ISBLANK(Exceptions[[#This Row],[Date]]),"",IF(Exceptions[[#This Row],[Activity]]="Instruction",Exceptions[[#This Row],[Elapsed]],0))</f>
        <v/>
      </c>
      <c r="K339" s="42" t="str">
        <f>IF(ISBLANK(Exceptions[[#This Row],[Activity]]),"",IF(_xlfn.XLOOKUP(Exceptions[[#This Row],[Activity]],Types_of_Activity[Type of Activity],Types_of_Activity[Classification])=2,Exceptions[[#This Row],[Elapsed]],0))</f>
        <v/>
      </c>
    </row>
    <row r="340" spans="2:11" x14ac:dyDescent="0.3">
      <c r="B340" t="str">
        <f>TEXT(Exceptions[[#This Row],[Date]],"MMMM")</f>
        <v>January</v>
      </c>
      <c r="C340" s="145"/>
      <c r="D340" s="135"/>
      <c r="E340" s="135"/>
      <c r="F340" s="102"/>
      <c r="G340" s="102"/>
      <c r="H340" s="102"/>
      <c r="I340" s="42" t="str">
        <f>IF(OR(ISBLANK(Exceptions[[#This Row],[Start]]),ISBLANK(Exceptions[[#This Row],[End]])),"",(Exceptions[[#This Row],[End]]-Exceptions[[#This Row],[Start]])*1440)</f>
        <v/>
      </c>
      <c r="J340" s="42" t="str">
        <f>IF(ISBLANK(Exceptions[[#This Row],[Date]]),"",IF(Exceptions[[#This Row],[Activity]]="Instruction",Exceptions[[#This Row],[Elapsed]],0))</f>
        <v/>
      </c>
      <c r="K340" s="42" t="str">
        <f>IF(ISBLANK(Exceptions[[#This Row],[Activity]]),"",IF(_xlfn.XLOOKUP(Exceptions[[#This Row],[Activity]],Types_of_Activity[Type of Activity],Types_of_Activity[Classification])=2,Exceptions[[#This Row],[Elapsed]],0))</f>
        <v/>
      </c>
    </row>
    <row r="341" spans="2:11" x14ac:dyDescent="0.3">
      <c r="B341" t="str">
        <f>TEXT(Exceptions[[#This Row],[Date]],"MMMM")</f>
        <v>January</v>
      </c>
      <c r="C341" s="145"/>
      <c r="D341" s="135"/>
      <c r="E341" s="135"/>
      <c r="F341" s="102"/>
      <c r="G341" s="102"/>
      <c r="H341" s="102"/>
      <c r="I341" s="42" t="str">
        <f>IF(OR(ISBLANK(Exceptions[[#This Row],[Start]]),ISBLANK(Exceptions[[#This Row],[End]])),"",(Exceptions[[#This Row],[End]]-Exceptions[[#This Row],[Start]])*1440)</f>
        <v/>
      </c>
      <c r="J341" s="42" t="str">
        <f>IF(ISBLANK(Exceptions[[#This Row],[Date]]),"",IF(Exceptions[[#This Row],[Activity]]="Instruction",Exceptions[[#This Row],[Elapsed]],0))</f>
        <v/>
      </c>
      <c r="K341" s="42" t="str">
        <f>IF(ISBLANK(Exceptions[[#This Row],[Activity]]),"",IF(_xlfn.XLOOKUP(Exceptions[[#This Row],[Activity]],Types_of_Activity[Type of Activity],Types_of_Activity[Classification])=2,Exceptions[[#This Row],[Elapsed]],0))</f>
        <v/>
      </c>
    </row>
    <row r="342" spans="2:11" x14ac:dyDescent="0.3">
      <c r="B342" t="str">
        <f>TEXT(Exceptions[[#This Row],[Date]],"MMMM")</f>
        <v>January</v>
      </c>
      <c r="C342" s="145"/>
      <c r="D342" s="135"/>
      <c r="E342" s="135"/>
      <c r="F342" s="102"/>
      <c r="G342" s="102"/>
      <c r="H342" s="102"/>
      <c r="I342" s="42" t="str">
        <f>IF(OR(ISBLANK(Exceptions[[#This Row],[Start]]),ISBLANK(Exceptions[[#This Row],[End]])),"",(Exceptions[[#This Row],[End]]-Exceptions[[#This Row],[Start]])*1440)</f>
        <v/>
      </c>
      <c r="J342" s="42" t="str">
        <f>IF(ISBLANK(Exceptions[[#This Row],[Date]]),"",IF(Exceptions[[#This Row],[Activity]]="Instruction",Exceptions[[#This Row],[Elapsed]],0))</f>
        <v/>
      </c>
      <c r="K342" s="42" t="str">
        <f>IF(ISBLANK(Exceptions[[#This Row],[Activity]]),"",IF(_xlfn.XLOOKUP(Exceptions[[#This Row],[Activity]],Types_of_Activity[Type of Activity],Types_of_Activity[Classification])=2,Exceptions[[#This Row],[Elapsed]],0))</f>
        <v/>
      </c>
    </row>
    <row r="343" spans="2:11" x14ac:dyDescent="0.3">
      <c r="B343" t="str">
        <f>TEXT(Exceptions[[#This Row],[Date]],"MMMM")</f>
        <v>January</v>
      </c>
      <c r="C343" s="145"/>
      <c r="D343" s="135"/>
      <c r="E343" s="135"/>
      <c r="F343" s="102"/>
      <c r="G343" s="102"/>
      <c r="H343" s="102"/>
      <c r="I343" s="42" t="str">
        <f>IF(OR(ISBLANK(Exceptions[[#This Row],[Start]]),ISBLANK(Exceptions[[#This Row],[End]])),"",(Exceptions[[#This Row],[End]]-Exceptions[[#This Row],[Start]])*1440)</f>
        <v/>
      </c>
      <c r="J343" s="42" t="str">
        <f>IF(ISBLANK(Exceptions[[#This Row],[Date]]),"",IF(Exceptions[[#This Row],[Activity]]="Instruction",Exceptions[[#This Row],[Elapsed]],0))</f>
        <v/>
      </c>
      <c r="K343" s="42" t="str">
        <f>IF(ISBLANK(Exceptions[[#This Row],[Activity]]),"",IF(_xlfn.XLOOKUP(Exceptions[[#This Row],[Activity]],Types_of_Activity[Type of Activity],Types_of_Activity[Classification])=2,Exceptions[[#This Row],[Elapsed]],0))</f>
        <v/>
      </c>
    </row>
    <row r="344" spans="2:11" x14ac:dyDescent="0.3">
      <c r="B344" t="str">
        <f>TEXT(Exceptions[[#This Row],[Date]],"MMMM")</f>
        <v>January</v>
      </c>
      <c r="C344" s="145"/>
      <c r="D344" s="135"/>
      <c r="E344" s="135"/>
      <c r="F344" s="102"/>
      <c r="G344" s="102"/>
      <c r="H344" s="102"/>
      <c r="I344" s="42" t="str">
        <f>IF(OR(ISBLANK(Exceptions[[#This Row],[Start]]),ISBLANK(Exceptions[[#This Row],[End]])),"",(Exceptions[[#This Row],[End]]-Exceptions[[#This Row],[Start]])*1440)</f>
        <v/>
      </c>
      <c r="J344" s="42" t="str">
        <f>IF(ISBLANK(Exceptions[[#This Row],[Date]]),"",IF(Exceptions[[#This Row],[Activity]]="Instruction",Exceptions[[#This Row],[Elapsed]],0))</f>
        <v/>
      </c>
      <c r="K344" s="42" t="str">
        <f>IF(ISBLANK(Exceptions[[#This Row],[Activity]]),"",IF(_xlfn.XLOOKUP(Exceptions[[#This Row],[Activity]],Types_of_Activity[Type of Activity],Types_of_Activity[Classification])=2,Exceptions[[#This Row],[Elapsed]],0))</f>
        <v/>
      </c>
    </row>
    <row r="345" spans="2:11" x14ac:dyDescent="0.3">
      <c r="B345" t="str">
        <f>TEXT(Exceptions[[#This Row],[Date]],"MMMM")</f>
        <v>January</v>
      </c>
      <c r="C345" s="145"/>
      <c r="D345" s="135"/>
      <c r="E345" s="135"/>
      <c r="F345" s="102"/>
      <c r="G345" s="102"/>
      <c r="H345" s="102"/>
      <c r="I345" s="42" t="str">
        <f>IF(OR(ISBLANK(Exceptions[[#This Row],[Start]]),ISBLANK(Exceptions[[#This Row],[End]])),"",(Exceptions[[#This Row],[End]]-Exceptions[[#This Row],[Start]])*1440)</f>
        <v/>
      </c>
      <c r="J345" s="42" t="str">
        <f>IF(ISBLANK(Exceptions[[#This Row],[Date]]),"",IF(Exceptions[[#This Row],[Activity]]="Instruction",Exceptions[[#This Row],[Elapsed]],0))</f>
        <v/>
      </c>
      <c r="K345" s="42" t="str">
        <f>IF(ISBLANK(Exceptions[[#This Row],[Activity]]),"",IF(_xlfn.XLOOKUP(Exceptions[[#This Row],[Activity]],Types_of_Activity[Type of Activity],Types_of_Activity[Classification])=2,Exceptions[[#This Row],[Elapsed]],0))</f>
        <v/>
      </c>
    </row>
    <row r="346" spans="2:11" x14ac:dyDescent="0.3">
      <c r="B346" t="str">
        <f>TEXT(Exceptions[[#This Row],[Date]],"MMMM")</f>
        <v>January</v>
      </c>
      <c r="C346" s="145"/>
      <c r="D346" s="135"/>
      <c r="E346" s="135"/>
      <c r="F346" s="102"/>
      <c r="G346" s="102"/>
      <c r="H346" s="102"/>
      <c r="I346" s="42" t="str">
        <f>IF(OR(ISBLANK(Exceptions[[#This Row],[Start]]),ISBLANK(Exceptions[[#This Row],[End]])),"",(Exceptions[[#This Row],[End]]-Exceptions[[#This Row],[Start]])*1440)</f>
        <v/>
      </c>
      <c r="J346" s="42" t="str">
        <f>IF(ISBLANK(Exceptions[[#This Row],[Date]]),"",IF(Exceptions[[#This Row],[Activity]]="Instruction",Exceptions[[#This Row],[Elapsed]],0))</f>
        <v/>
      </c>
      <c r="K346" s="42" t="str">
        <f>IF(ISBLANK(Exceptions[[#This Row],[Activity]]),"",IF(_xlfn.XLOOKUP(Exceptions[[#This Row],[Activity]],Types_of_Activity[Type of Activity],Types_of_Activity[Classification])=2,Exceptions[[#This Row],[Elapsed]],0))</f>
        <v/>
      </c>
    </row>
    <row r="347" spans="2:11" x14ac:dyDescent="0.3">
      <c r="B347" t="str">
        <f>TEXT(Exceptions[[#This Row],[Date]],"MMMM")</f>
        <v>January</v>
      </c>
      <c r="C347" s="145"/>
      <c r="D347" s="135"/>
      <c r="E347" s="135"/>
      <c r="F347" s="102"/>
      <c r="G347" s="102"/>
      <c r="H347" s="102"/>
      <c r="I347" s="42" t="str">
        <f>IF(OR(ISBLANK(Exceptions[[#This Row],[Start]]),ISBLANK(Exceptions[[#This Row],[End]])),"",(Exceptions[[#This Row],[End]]-Exceptions[[#This Row],[Start]])*1440)</f>
        <v/>
      </c>
      <c r="J347" s="42" t="str">
        <f>IF(ISBLANK(Exceptions[[#This Row],[Date]]),"",IF(Exceptions[[#This Row],[Activity]]="Instruction",Exceptions[[#This Row],[Elapsed]],0))</f>
        <v/>
      </c>
      <c r="K347" s="42" t="str">
        <f>IF(ISBLANK(Exceptions[[#This Row],[Activity]]),"",IF(_xlfn.XLOOKUP(Exceptions[[#This Row],[Activity]],Types_of_Activity[Type of Activity],Types_of_Activity[Classification])=2,Exceptions[[#This Row],[Elapsed]],0))</f>
        <v/>
      </c>
    </row>
    <row r="348" spans="2:11" x14ac:dyDescent="0.3">
      <c r="B348" t="str">
        <f>TEXT(Exceptions[[#This Row],[Date]],"MMMM")</f>
        <v>January</v>
      </c>
      <c r="C348" s="145"/>
      <c r="D348" s="135"/>
      <c r="E348" s="135"/>
      <c r="F348" s="102"/>
      <c r="G348" s="102"/>
      <c r="H348" s="102"/>
      <c r="I348" s="42" t="str">
        <f>IF(OR(ISBLANK(Exceptions[[#This Row],[Start]]),ISBLANK(Exceptions[[#This Row],[End]])),"",(Exceptions[[#This Row],[End]]-Exceptions[[#This Row],[Start]])*1440)</f>
        <v/>
      </c>
      <c r="J348" s="42" t="str">
        <f>IF(ISBLANK(Exceptions[[#This Row],[Date]]),"",IF(Exceptions[[#This Row],[Activity]]="Instruction",Exceptions[[#This Row],[Elapsed]],0))</f>
        <v/>
      </c>
      <c r="K348" s="42" t="str">
        <f>IF(ISBLANK(Exceptions[[#This Row],[Activity]]),"",IF(_xlfn.XLOOKUP(Exceptions[[#This Row],[Activity]],Types_of_Activity[Type of Activity],Types_of_Activity[Classification])=2,Exceptions[[#This Row],[Elapsed]],0))</f>
        <v/>
      </c>
    </row>
    <row r="349" spans="2:11" x14ac:dyDescent="0.3">
      <c r="B349" t="str">
        <f>TEXT(Exceptions[[#This Row],[Date]],"MMMM")</f>
        <v>January</v>
      </c>
      <c r="C349" s="145"/>
      <c r="D349" s="135"/>
      <c r="E349" s="135"/>
      <c r="F349" s="102"/>
      <c r="G349" s="102"/>
      <c r="H349" s="102"/>
      <c r="I349" s="42" t="str">
        <f>IF(OR(ISBLANK(Exceptions[[#This Row],[Start]]),ISBLANK(Exceptions[[#This Row],[End]])),"",(Exceptions[[#This Row],[End]]-Exceptions[[#This Row],[Start]])*1440)</f>
        <v/>
      </c>
      <c r="J349" s="42" t="str">
        <f>IF(ISBLANK(Exceptions[[#This Row],[Date]]),"",IF(Exceptions[[#This Row],[Activity]]="Instruction",Exceptions[[#This Row],[Elapsed]],0))</f>
        <v/>
      </c>
      <c r="K349" s="42" t="str">
        <f>IF(ISBLANK(Exceptions[[#This Row],[Activity]]),"",IF(_xlfn.XLOOKUP(Exceptions[[#This Row],[Activity]],Types_of_Activity[Type of Activity],Types_of_Activity[Classification])=2,Exceptions[[#This Row],[Elapsed]],0))</f>
        <v/>
      </c>
    </row>
    <row r="350" spans="2:11" x14ac:dyDescent="0.3">
      <c r="B350" t="str">
        <f>TEXT(Exceptions[[#This Row],[Date]],"MMMM")</f>
        <v>January</v>
      </c>
      <c r="C350" s="145"/>
      <c r="D350" s="135"/>
      <c r="E350" s="135"/>
      <c r="F350" s="102"/>
      <c r="G350" s="102"/>
      <c r="H350" s="102"/>
      <c r="I350" s="42" t="str">
        <f>IF(OR(ISBLANK(Exceptions[[#This Row],[Start]]),ISBLANK(Exceptions[[#This Row],[End]])),"",(Exceptions[[#This Row],[End]]-Exceptions[[#This Row],[Start]])*1440)</f>
        <v/>
      </c>
      <c r="J350" s="42" t="str">
        <f>IF(ISBLANK(Exceptions[[#This Row],[Date]]),"",IF(Exceptions[[#This Row],[Activity]]="Instruction",Exceptions[[#This Row],[Elapsed]],0))</f>
        <v/>
      </c>
      <c r="K350" s="42" t="str">
        <f>IF(ISBLANK(Exceptions[[#This Row],[Activity]]),"",IF(_xlfn.XLOOKUP(Exceptions[[#This Row],[Activity]],Types_of_Activity[Type of Activity],Types_of_Activity[Classification])=2,Exceptions[[#This Row],[Elapsed]],0))</f>
        <v/>
      </c>
    </row>
    <row r="351" spans="2:11" x14ac:dyDescent="0.3">
      <c r="B351" t="str">
        <f>TEXT(Exceptions[[#This Row],[Date]],"MMMM")</f>
        <v>January</v>
      </c>
      <c r="C351" s="145"/>
      <c r="D351" s="135"/>
      <c r="E351" s="135"/>
      <c r="F351" s="102"/>
      <c r="G351" s="102"/>
      <c r="H351" s="102"/>
      <c r="I351" s="42" t="str">
        <f>IF(OR(ISBLANK(Exceptions[[#This Row],[Start]]),ISBLANK(Exceptions[[#This Row],[End]])),"",(Exceptions[[#This Row],[End]]-Exceptions[[#This Row],[Start]])*1440)</f>
        <v/>
      </c>
      <c r="J351" s="42" t="str">
        <f>IF(ISBLANK(Exceptions[[#This Row],[Date]]),"",IF(Exceptions[[#This Row],[Activity]]="Instruction",Exceptions[[#This Row],[Elapsed]],0))</f>
        <v/>
      </c>
      <c r="K351" s="42" t="str">
        <f>IF(ISBLANK(Exceptions[[#This Row],[Activity]]),"",IF(_xlfn.XLOOKUP(Exceptions[[#This Row],[Activity]],Types_of_Activity[Type of Activity],Types_of_Activity[Classification])=2,Exceptions[[#This Row],[Elapsed]],0))</f>
        <v/>
      </c>
    </row>
    <row r="352" spans="2:11" x14ac:dyDescent="0.3">
      <c r="B352" t="str">
        <f>TEXT(Exceptions[[#This Row],[Date]],"MMMM")</f>
        <v>January</v>
      </c>
      <c r="C352" s="145"/>
      <c r="D352" s="135"/>
      <c r="E352" s="135"/>
      <c r="F352" s="102"/>
      <c r="G352" s="102"/>
      <c r="H352" s="102"/>
      <c r="I352" s="42" t="str">
        <f>IF(OR(ISBLANK(Exceptions[[#This Row],[Start]]),ISBLANK(Exceptions[[#This Row],[End]])),"",(Exceptions[[#This Row],[End]]-Exceptions[[#This Row],[Start]])*1440)</f>
        <v/>
      </c>
      <c r="J352" s="42" t="str">
        <f>IF(ISBLANK(Exceptions[[#This Row],[Date]]),"",IF(Exceptions[[#This Row],[Activity]]="Instruction",Exceptions[[#This Row],[Elapsed]],0))</f>
        <v/>
      </c>
      <c r="K352" s="42" t="str">
        <f>IF(ISBLANK(Exceptions[[#This Row],[Activity]]),"",IF(_xlfn.XLOOKUP(Exceptions[[#This Row],[Activity]],Types_of_Activity[Type of Activity],Types_of_Activity[Classification])=2,Exceptions[[#This Row],[Elapsed]],0))</f>
        <v/>
      </c>
    </row>
    <row r="353" spans="2:11" x14ac:dyDescent="0.3">
      <c r="B353" t="str">
        <f>TEXT(Exceptions[[#This Row],[Date]],"MMMM")</f>
        <v>January</v>
      </c>
      <c r="C353" s="145"/>
      <c r="D353" s="135"/>
      <c r="E353" s="135"/>
      <c r="F353" s="102"/>
      <c r="G353" s="102"/>
      <c r="H353" s="102"/>
      <c r="I353" s="42" t="str">
        <f>IF(OR(ISBLANK(Exceptions[[#This Row],[Start]]),ISBLANK(Exceptions[[#This Row],[End]])),"",(Exceptions[[#This Row],[End]]-Exceptions[[#This Row],[Start]])*1440)</f>
        <v/>
      </c>
      <c r="J353" s="42" t="str">
        <f>IF(ISBLANK(Exceptions[[#This Row],[Date]]),"",IF(Exceptions[[#This Row],[Activity]]="Instruction",Exceptions[[#This Row],[Elapsed]],0))</f>
        <v/>
      </c>
      <c r="K353" s="42" t="str">
        <f>IF(ISBLANK(Exceptions[[#This Row],[Activity]]),"",IF(_xlfn.XLOOKUP(Exceptions[[#This Row],[Activity]],Types_of_Activity[Type of Activity],Types_of_Activity[Classification])=2,Exceptions[[#This Row],[Elapsed]],0))</f>
        <v/>
      </c>
    </row>
    <row r="354" spans="2:11" x14ac:dyDescent="0.3">
      <c r="B354" t="str">
        <f>TEXT(Exceptions[[#This Row],[Date]],"MMMM")</f>
        <v>January</v>
      </c>
      <c r="C354" s="145"/>
      <c r="D354" s="135"/>
      <c r="E354" s="135"/>
      <c r="F354" s="102"/>
      <c r="G354" s="102"/>
      <c r="H354" s="102"/>
      <c r="I354" s="42" t="str">
        <f>IF(OR(ISBLANK(Exceptions[[#This Row],[Start]]),ISBLANK(Exceptions[[#This Row],[End]])),"",(Exceptions[[#This Row],[End]]-Exceptions[[#This Row],[Start]])*1440)</f>
        <v/>
      </c>
      <c r="J354" s="42" t="str">
        <f>IF(ISBLANK(Exceptions[[#This Row],[Date]]),"",IF(Exceptions[[#This Row],[Activity]]="Instruction",Exceptions[[#This Row],[Elapsed]],0))</f>
        <v/>
      </c>
      <c r="K354" s="42" t="str">
        <f>IF(ISBLANK(Exceptions[[#This Row],[Activity]]),"",IF(_xlfn.XLOOKUP(Exceptions[[#This Row],[Activity]],Types_of_Activity[Type of Activity],Types_of_Activity[Classification])=2,Exceptions[[#This Row],[Elapsed]],0))</f>
        <v/>
      </c>
    </row>
    <row r="355" spans="2:11" x14ac:dyDescent="0.3">
      <c r="B355" t="str">
        <f>TEXT(Exceptions[[#This Row],[Date]],"MMMM")</f>
        <v>January</v>
      </c>
      <c r="C355" s="145"/>
      <c r="D355" s="135"/>
      <c r="E355" s="135"/>
      <c r="F355" s="102"/>
      <c r="G355" s="102"/>
      <c r="H355" s="102"/>
      <c r="I355" s="42" t="str">
        <f>IF(OR(ISBLANK(Exceptions[[#This Row],[Start]]),ISBLANK(Exceptions[[#This Row],[End]])),"",(Exceptions[[#This Row],[End]]-Exceptions[[#This Row],[Start]])*1440)</f>
        <v/>
      </c>
      <c r="J355" s="42" t="str">
        <f>IF(ISBLANK(Exceptions[[#This Row],[Date]]),"",IF(Exceptions[[#This Row],[Activity]]="Instruction",Exceptions[[#This Row],[Elapsed]],0))</f>
        <v/>
      </c>
      <c r="K355" s="42" t="str">
        <f>IF(ISBLANK(Exceptions[[#This Row],[Activity]]),"",IF(_xlfn.XLOOKUP(Exceptions[[#This Row],[Activity]],Types_of_Activity[Type of Activity],Types_of_Activity[Classification])=2,Exceptions[[#This Row],[Elapsed]],0))</f>
        <v/>
      </c>
    </row>
    <row r="356" spans="2:11" x14ac:dyDescent="0.3">
      <c r="B356" t="str">
        <f>TEXT(Exceptions[[#This Row],[Date]],"MMMM")</f>
        <v>January</v>
      </c>
      <c r="C356" s="145"/>
      <c r="D356" s="135"/>
      <c r="E356" s="135"/>
      <c r="F356" s="102"/>
      <c r="G356" s="102"/>
      <c r="H356" s="102"/>
      <c r="I356" s="42" t="str">
        <f>IF(OR(ISBLANK(Exceptions[[#This Row],[Start]]),ISBLANK(Exceptions[[#This Row],[End]])),"",(Exceptions[[#This Row],[End]]-Exceptions[[#This Row],[Start]])*1440)</f>
        <v/>
      </c>
      <c r="J356" s="42" t="str">
        <f>IF(ISBLANK(Exceptions[[#This Row],[Date]]),"",IF(Exceptions[[#This Row],[Activity]]="Instruction",Exceptions[[#This Row],[Elapsed]],0))</f>
        <v/>
      </c>
      <c r="K356" s="42" t="str">
        <f>IF(ISBLANK(Exceptions[[#This Row],[Activity]]),"",IF(_xlfn.XLOOKUP(Exceptions[[#This Row],[Activity]],Types_of_Activity[Type of Activity],Types_of_Activity[Classification])=2,Exceptions[[#This Row],[Elapsed]],0))</f>
        <v/>
      </c>
    </row>
    <row r="357" spans="2:11" x14ac:dyDescent="0.3">
      <c r="B357" t="str">
        <f>TEXT(Exceptions[[#This Row],[Date]],"MMMM")</f>
        <v>January</v>
      </c>
      <c r="C357" s="145"/>
      <c r="D357" s="135"/>
      <c r="E357" s="135"/>
      <c r="F357" s="102"/>
      <c r="G357" s="102"/>
      <c r="H357" s="102"/>
      <c r="I357" s="42" t="str">
        <f>IF(OR(ISBLANK(Exceptions[[#This Row],[Start]]),ISBLANK(Exceptions[[#This Row],[End]])),"",(Exceptions[[#This Row],[End]]-Exceptions[[#This Row],[Start]])*1440)</f>
        <v/>
      </c>
      <c r="J357" s="42" t="str">
        <f>IF(ISBLANK(Exceptions[[#This Row],[Date]]),"",IF(Exceptions[[#This Row],[Activity]]="Instruction",Exceptions[[#This Row],[Elapsed]],0))</f>
        <v/>
      </c>
      <c r="K357" s="42" t="str">
        <f>IF(ISBLANK(Exceptions[[#This Row],[Activity]]),"",IF(_xlfn.XLOOKUP(Exceptions[[#This Row],[Activity]],Types_of_Activity[Type of Activity],Types_of_Activity[Classification])=2,Exceptions[[#This Row],[Elapsed]],0))</f>
        <v/>
      </c>
    </row>
    <row r="358" spans="2:11" x14ac:dyDescent="0.3">
      <c r="B358" t="str">
        <f>TEXT(Exceptions[[#This Row],[Date]],"MMMM")</f>
        <v>January</v>
      </c>
      <c r="C358" s="145"/>
      <c r="D358" s="135"/>
      <c r="E358" s="135"/>
      <c r="F358" s="102"/>
      <c r="G358" s="102"/>
      <c r="H358" s="102"/>
      <c r="I358" s="42" t="str">
        <f>IF(OR(ISBLANK(Exceptions[[#This Row],[Start]]),ISBLANK(Exceptions[[#This Row],[End]])),"",(Exceptions[[#This Row],[End]]-Exceptions[[#This Row],[Start]])*1440)</f>
        <v/>
      </c>
      <c r="J358" s="42" t="str">
        <f>IF(ISBLANK(Exceptions[[#This Row],[Date]]),"",IF(Exceptions[[#This Row],[Activity]]="Instruction",Exceptions[[#This Row],[Elapsed]],0))</f>
        <v/>
      </c>
      <c r="K358" s="42" t="str">
        <f>IF(ISBLANK(Exceptions[[#This Row],[Activity]]),"",IF(_xlfn.XLOOKUP(Exceptions[[#This Row],[Activity]],Types_of_Activity[Type of Activity],Types_of_Activity[Classification])=2,Exceptions[[#This Row],[Elapsed]],0))</f>
        <v/>
      </c>
    </row>
    <row r="359" spans="2:11" x14ac:dyDescent="0.3">
      <c r="B359" t="str">
        <f>TEXT(Exceptions[[#This Row],[Date]],"MMMM")</f>
        <v>January</v>
      </c>
      <c r="C359" s="145"/>
      <c r="D359" s="135"/>
      <c r="E359" s="135"/>
      <c r="F359" s="102"/>
      <c r="G359" s="102"/>
      <c r="H359" s="102"/>
      <c r="I359" s="42" t="str">
        <f>IF(OR(ISBLANK(Exceptions[[#This Row],[Start]]),ISBLANK(Exceptions[[#This Row],[End]])),"",(Exceptions[[#This Row],[End]]-Exceptions[[#This Row],[Start]])*1440)</f>
        <v/>
      </c>
      <c r="J359" s="42" t="str">
        <f>IF(ISBLANK(Exceptions[[#This Row],[Date]]),"",IF(Exceptions[[#This Row],[Activity]]="Instruction",Exceptions[[#This Row],[Elapsed]],0))</f>
        <v/>
      </c>
      <c r="K359" s="42" t="str">
        <f>IF(ISBLANK(Exceptions[[#This Row],[Activity]]),"",IF(_xlfn.XLOOKUP(Exceptions[[#This Row],[Activity]],Types_of_Activity[Type of Activity],Types_of_Activity[Classification])=2,Exceptions[[#This Row],[Elapsed]],0))</f>
        <v/>
      </c>
    </row>
    <row r="360" spans="2:11" x14ac:dyDescent="0.3">
      <c r="B360" t="str">
        <f>TEXT(Exceptions[[#This Row],[Date]],"MMMM")</f>
        <v>January</v>
      </c>
      <c r="C360" s="145"/>
      <c r="D360" s="135"/>
      <c r="E360" s="135"/>
      <c r="F360" s="102"/>
      <c r="G360" s="102"/>
      <c r="H360" s="102"/>
      <c r="I360" s="42" t="str">
        <f>IF(OR(ISBLANK(Exceptions[[#This Row],[Start]]),ISBLANK(Exceptions[[#This Row],[End]])),"",(Exceptions[[#This Row],[End]]-Exceptions[[#This Row],[Start]])*1440)</f>
        <v/>
      </c>
      <c r="J360" s="42" t="str">
        <f>IF(ISBLANK(Exceptions[[#This Row],[Date]]),"",IF(Exceptions[[#This Row],[Activity]]="Instruction",Exceptions[[#This Row],[Elapsed]],0))</f>
        <v/>
      </c>
      <c r="K360" s="42" t="str">
        <f>IF(ISBLANK(Exceptions[[#This Row],[Activity]]),"",IF(_xlfn.XLOOKUP(Exceptions[[#This Row],[Activity]],Types_of_Activity[Type of Activity],Types_of_Activity[Classification])=2,Exceptions[[#This Row],[Elapsed]],0))</f>
        <v/>
      </c>
    </row>
    <row r="361" spans="2:11" x14ac:dyDescent="0.3">
      <c r="C361" s="37"/>
    </row>
    <row r="362" spans="2:11" x14ac:dyDescent="0.3">
      <c r="C362" s="37"/>
    </row>
    <row r="363" spans="2:11" x14ac:dyDescent="0.3">
      <c r="C363" s="37"/>
    </row>
    <row r="364" spans="2:11" x14ac:dyDescent="0.3">
      <c r="C364" s="37"/>
    </row>
  </sheetData>
  <sheetProtection algorithmName="SHA-512" hashValue="9lkjw1np6vaYl2YtzY7CJMbrocgQGNSmTtkzu8hZShQyjiPht7jy5GhjFzvRAisuogTbHkvERDBHKGd1EKgjlA==" saltValue="qZ68yQq9qHxFq7ZkePJaAg==" spinCount="100000" sheet="1" objects="1" scenarios="1"/>
  <dataValidations count="3">
    <dataValidation type="date" operator="greaterThanOrEqual" allowBlank="1" showInputMessage="1" showErrorMessage="1" error="Enter dates as YYYY-mm-dd (such as 2023-08-30)" sqref="C13:C360" xr:uid="{8E7E3C2D-1113-488D-A108-8A252F3D92D6}">
      <formula1>36526</formula1>
    </dataValidation>
    <dataValidation type="time" operator="greaterThanOrEqual" allowBlank="1" showInputMessage="1" showErrorMessage="1" sqref="E13:E360" xr:uid="{65E57336-3DF2-4E01-B225-2BE3111100B1}">
      <formula1>0</formula1>
    </dataValidation>
    <dataValidation type="time" operator="greaterThanOrEqual" allowBlank="1" showInputMessage="1" showErrorMessage="1" error="Enter as hh:mm (such as 08:35)" sqref="D13:D360" xr:uid="{5CEDC521-CB44-499C-A3E8-D7F00304F313}">
      <formula1>0</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B5274DA1-D380-45EC-AF2D-0970F77C71A5}">
          <x14:formula1>
            <xm:f>_xlfn.ANCHORARRAY(Parameters!$F$25)</xm:f>
          </x14:formula1>
          <xm:sqref>F13:F360</xm:sqref>
        </x14:dataValidation>
        <x14:dataValidation type="list" allowBlank="1" showInputMessage="1" showErrorMessage="1" xr:uid="{4EC39C34-7D4B-403C-B41C-E44D7E854AA9}">
          <x14:formula1>
            <xm:f>_xlfn.ANCHORARRAY(Parameters!$L$25)</xm:f>
          </x14:formula1>
          <xm:sqref>G13:G360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0CAA3-889B-4683-B31D-26FDD71921B6}">
  <dimension ref="B14:BS131"/>
  <sheetViews>
    <sheetView showGridLines="0" showRowColHeaders="0" topLeftCell="A13" workbookViewId="0">
      <selection activeCell="D18" sqref="D18"/>
    </sheetView>
  </sheetViews>
  <sheetFormatPr defaultColWidth="9" defaultRowHeight="14.4" x14ac:dyDescent="0.3"/>
  <cols>
    <col min="1" max="1" width="9" style="103"/>
    <col min="2" max="3" width="12.77734375" style="103" customWidth="1"/>
    <col min="4" max="4" width="19.6640625" style="103" customWidth="1"/>
    <col min="5" max="5" width="12.6640625" style="103" customWidth="1"/>
    <col min="6" max="7" width="19.6640625" style="103" customWidth="1"/>
    <col min="8" max="8" width="9" style="103"/>
    <col min="9" max="10" width="12.77734375" style="103" customWidth="1"/>
    <col min="11" max="11" width="19.6640625" style="103" customWidth="1"/>
    <col min="12" max="12" width="12.6640625" style="103" customWidth="1"/>
    <col min="13" max="14" width="19.6640625" style="103" customWidth="1"/>
    <col min="15" max="15" width="9" style="103"/>
    <col min="16" max="17" width="12.77734375" style="103" customWidth="1"/>
    <col min="18" max="18" width="19.6640625" style="103" customWidth="1"/>
    <col min="19" max="19" width="12.6640625" style="103" customWidth="1"/>
    <col min="20" max="21" width="19.77734375" style="103" customWidth="1"/>
    <col min="22" max="22" width="10.33203125" style="103" customWidth="1"/>
    <col min="23" max="24" width="12.77734375" style="103" customWidth="1"/>
    <col min="25" max="25" width="19.6640625" style="103" customWidth="1"/>
    <col min="26" max="26" width="12.6640625" style="103" customWidth="1"/>
    <col min="27" max="28" width="19.77734375" style="103" customWidth="1"/>
    <col min="29" max="29" width="9" style="103"/>
    <col min="30" max="31" width="12.77734375" style="103" customWidth="1"/>
    <col min="32" max="32" width="19.6640625" style="103" customWidth="1"/>
    <col min="33" max="33" width="12.6640625" style="103" customWidth="1"/>
    <col min="34" max="35" width="19.77734375" style="103" customWidth="1"/>
    <col min="36" max="36" width="9" style="103" customWidth="1"/>
    <col min="37" max="38" width="12.77734375" style="103" customWidth="1"/>
    <col min="39" max="39" width="19.6640625" style="103" customWidth="1"/>
    <col min="40" max="40" width="12.6640625" style="103" customWidth="1"/>
    <col min="41" max="42" width="19.77734375" style="103" customWidth="1"/>
    <col min="43" max="43" width="9" style="103" customWidth="1"/>
    <col min="44" max="45" width="12.77734375" style="103" customWidth="1"/>
    <col min="46" max="46" width="19.6640625" style="103" customWidth="1"/>
    <col min="47" max="47" width="12.6640625" style="103" customWidth="1"/>
    <col min="48" max="49" width="19.77734375" style="103" customWidth="1"/>
    <col min="50" max="50" width="9" style="103" customWidth="1"/>
    <col min="51" max="52" width="12.77734375" style="103" customWidth="1"/>
    <col min="53" max="53" width="19.6640625" style="103" customWidth="1"/>
    <col min="54" max="54" width="12.6640625" style="103" customWidth="1"/>
    <col min="55" max="56" width="19.77734375" style="103" customWidth="1"/>
    <col min="57" max="57" width="9" style="103" customWidth="1"/>
    <col min="58" max="59" width="12.77734375" style="103" customWidth="1"/>
    <col min="60" max="60" width="19.6640625" style="103" customWidth="1"/>
    <col min="61" max="61" width="12.6640625" style="103" customWidth="1"/>
    <col min="62" max="63" width="19.77734375" style="103" customWidth="1"/>
    <col min="64" max="64" width="9" style="103" customWidth="1"/>
    <col min="65" max="66" width="12.77734375" style="103" customWidth="1"/>
    <col min="67" max="67" width="19.6640625" style="103" customWidth="1"/>
    <col min="68" max="68" width="12.6640625" style="103" customWidth="1"/>
    <col min="69" max="70" width="19.77734375" style="103" customWidth="1"/>
    <col min="71" max="71" width="9" style="103" customWidth="1"/>
    <col min="72" max="74" width="12.6640625" style="103" customWidth="1"/>
    <col min="75" max="75" width="18.6640625" style="103" customWidth="1"/>
    <col min="76" max="76" width="20.6640625" style="103" customWidth="1"/>
    <col min="77" max="77" width="18.44140625" style="103" customWidth="1"/>
    <col min="78" max="81" width="9" style="103"/>
    <col min="82" max="82" width="12.109375" style="103" customWidth="1"/>
    <col min="83" max="83" width="16.21875" style="103" customWidth="1"/>
    <col min="84" max="16384" width="9" style="103"/>
  </cols>
  <sheetData>
    <row r="14" spans="2:70" ht="27.75" customHeight="1" x14ac:dyDescent="0.3"/>
    <row r="16" spans="2:70" ht="30.6" x14ac:dyDescent="0.55000000000000004">
      <c r="B16" s="104" t="s">
        <v>9</v>
      </c>
      <c r="F16" s="105"/>
      <c r="G16" s="105"/>
      <c r="I16" s="104" t="s">
        <v>10</v>
      </c>
      <c r="M16" s="105"/>
      <c r="N16" s="105"/>
      <c r="P16" s="104" t="s">
        <v>11</v>
      </c>
      <c r="T16" s="105"/>
      <c r="U16" s="105"/>
      <c r="W16" s="104" t="s">
        <v>12</v>
      </c>
      <c r="AA16" s="105"/>
      <c r="AB16" s="105"/>
      <c r="AD16" s="104" t="s">
        <v>13</v>
      </c>
      <c r="AH16" s="105"/>
      <c r="AI16" s="105"/>
      <c r="AK16" s="104" t="s">
        <v>14</v>
      </c>
      <c r="AO16" s="105"/>
      <c r="AP16" s="105"/>
      <c r="AR16" s="104" t="s">
        <v>4099</v>
      </c>
      <c r="AV16" s="105"/>
      <c r="AW16" s="105"/>
      <c r="AY16" s="104" t="s">
        <v>4100</v>
      </c>
      <c r="BC16" s="105"/>
      <c r="BD16" s="105"/>
      <c r="BF16" s="104" t="s">
        <v>4101</v>
      </c>
      <c r="BJ16" s="105"/>
      <c r="BK16" s="105"/>
      <c r="BM16" s="104" t="s">
        <v>15</v>
      </c>
      <c r="BQ16" s="105"/>
      <c r="BR16" s="105"/>
    </row>
    <row r="17" spans="2:71" ht="28.8" x14ac:dyDescent="0.3">
      <c r="B17" s="119" t="s">
        <v>16</v>
      </c>
      <c r="C17" s="119" t="s">
        <v>17</v>
      </c>
      <c r="D17" s="119" t="s">
        <v>19</v>
      </c>
      <c r="E17" s="119" t="s">
        <v>18</v>
      </c>
      <c r="F17" s="119" t="s">
        <v>20</v>
      </c>
      <c r="G17" s="120" t="s">
        <v>4075</v>
      </c>
      <c r="I17" s="119" t="s">
        <v>16</v>
      </c>
      <c r="J17" s="119" t="s">
        <v>17</v>
      </c>
      <c r="K17" s="119" t="s">
        <v>19</v>
      </c>
      <c r="L17" s="119" t="s">
        <v>18</v>
      </c>
      <c r="M17" s="119" t="s">
        <v>20</v>
      </c>
      <c r="N17" s="120" t="s">
        <v>4075</v>
      </c>
      <c r="P17" s="119" t="s">
        <v>16</v>
      </c>
      <c r="Q17" s="119" t="s">
        <v>17</v>
      </c>
      <c r="R17" s="119" t="s">
        <v>19</v>
      </c>
      <c r="S17" s="119" t="s">
        <v>18</v>
      </c>
      <c r="T17" s="119" t="s">
        <v>20</v>
      </c>
      <c r="U17" s="120" t="s">
        <v>4075</v>
      </c>
      <c r="W17" s="119" t="s">
        <v>16</v>
      </c>
      <c r="X17" s="119" t="s">
        <v>17</v>
      </c>
      <c r="Y17" s="119" t="s">
        <v>19</v>
      </c>
      <c r="Z17" s="119" t="s">
        <v>18</v>
      </c>
      <c r="AA17" s="119" t="s">
        <v>20</v>
      </c>
      <c r="AB17" s="120" t="s">
        <v>4075</v>
      </c>
      <c r="AD17" s="119" t="s">
        <v>16</v>
      </c>
      <c r="AE17" s="119" t="s">
        <v>17</v>
      </c>
      <c r="AF17" s="119" t="s">
        <v>19</v>
      </c>
      <c r="AG17" s="119" t="s">
        <v>18</v>
      </c>
      <c r="AH17" s="119" t="s">
        <v>20</v>
      </c>
      <c r="AI17" s="120" t="s">
        <v>4075</v>
      </c>
      <c r="AK17" s="119" t="s">
        <v>16</v>
      </c>
      <c r="AL17" s="119" t="s">
        <v>17</v>
      </c>
      <c r="AM17" s="119" t="s">
        <v>19</v>
      </c>
      <c r="AN17" s="119" t="s">
        <v>18</v>
      </c>
      <c r="AO17" s="119" t="s">
        <v>20</v>
      </c>
      <c r="AP17" s="120" t="s">
        <v>4075</v>
      </c>
      <c r="AR17" s="119" t="s">
        <v>16</v>
      </c>
      <c r="AS17" s="119" t="s">
        <v>17</v>
      </c>
      <c r="AT17" s="119" t="s">
        <v>19</v>
      </c>
      <c r="AU17" s="119" t="s">
        <v>18</v>
      </c>
      <c r="AV17" s="119" t="s">
        <v>20</v>
      </c>
      <c r="AW17" s="120" t="s">
        <v>4075</v>
      </c>
      <c r="AY17" s="119" t="s">
        <v>16</v>
      </c>
      <c r="AZ17" s="119" t="s">
        <v>17</v>
      </c>
      <c r="BA17" s="119" t="s">
        <v>19</v>
      </c>
      <c r="BB17" s="119" t="s">
        <v>18</v>
      </c>
      <c r="BC17" s="119" t="s">
        <v>20</v>
      </c>
      <c r="BD17" s="120" t="s">
        <v>4075</v>
      </c>
      <c r="BF17" s="119" t="s">
        <v>16</v>
      </c>
      <c r="BG17" s="119" t="s">
        <v>17</v>
      </c>
      <c r="BH17" s="119" t="s">
        <v>19</v>
      </c>
      <c r="BI17" s="119" t="s">
        <v>18</v>
      </c>
      <c r="BJ17" s="119" t="s">
        <v>20</v>
      </c>
      <c r="BK17" s="120" t="s">
        <v>4075</v>
      </c>
      <c r="BM17" s="119" t="s">
        <v>16</v>
      </c>
      <c r="BN17" s="119" t="s">
        <v>17</v>
      </c>
      <c r="BO17" s="119" t="s">
        <v>19</v>
      </c>
      <c r="BP17" s="119" t="s">
        <v>18</v>
      </c>
      <c r="BQ17" s="119" t="s">
        <v>20</v>
      </c>
      <c r="BR17" s="120" t="s">
        <v>4075</v>
      </c>
    </row>
    <row r="18" spans="2:71" x14ac:dyDescent="0.3">
      <c r="B18" s="135">
        <v>0.33333333333333331</v>
      </c>
      <c r="C18" s="135">
        <v>0.35069444444444442</v>
      </c>
      <c r="D18" s="102" t="s">
        <v>4066</v>
      </c>
      <c r="E18" s="105">
        <f>IF(OR(ISBLANK(Term1_Day_1[[#This Row],[Start]]),ISBLANK(Term1_Day_1[[#This Row],[End]])),"",(Term1_Day_1[[#This Row],[End]]-Term1_Day_1[[#This Row],[Start]])*1440)</f>
        <v>24.999999999999993</v>
      </c>
      <c r="F18" s="105">
        <f>IF(ISBLANK(Term1_Day_1[[#This Row],[Activity]]),"",IF(_xlfn.XLOOKUP(Term1_Day_1[[#This Row],[Activity]],Types_of_Activity[Type of Activity],Types_of_Activity[Classification])=1,Term1_Day_1[[#This Row],[Elapsed]],0))</f>
        <v>0</v>
      </c>
      <c r="G18" s="105">
        <f>IF(ISBLANK(Term1_Day_1[[#This Row],[Activity]]),"",IF(_xlfn.XLOOKUP(Term1_Day_1[[#This Row],[Activity]],Types_of_Activity[Type of Activity],Types_of_Activity[Classification])=2,Term1_Day_1[[#This Row],[Elapsed]],0))</f>
        <v>24.999999999999993</v>
      </c>
      <c r="I18" s="135"/>
      <c r="J18" s="135"/>
      <c r="K18" s="102"/>
      <c r="L18" s="105" t="str">
        <f>IF(OR(ISBLANK(Term1_Day_2[[#This Row],[Start]]),ISBLANK(Term1_Day_2[[#This Row],[End]])),"",(Term1_Day_2[[#This Row],[End]]-Term1_Day_2[[#This Row],[Start]])*1440)</f>
        <v/>
      </c>
      <c r="M18" s="105" t="str">
        <f>IF(ISBLANK(Term1_Day_2[[#This Row],[Activity]]),"",IF(_xlfn.XLOOKUP(Term1_Day_2[[#This Row],[Activity]],Types_of_Activity[Type of Activity],Types_of_Activity[Classification])=1,Term1_Day_2[[#This Row],[Elapsed]],0))</f>
        <v/>
      </c>
      <c r="N18" s="105" t="str">
        <f>IF(ISBLANK(Term1_Day_2[[#This Row],[Activity]]),"",IF(_xlfn.XLOOKUP(Term1_Day_2[[#This Row],[Activity]],Types_of_Activity[Type of Activity],Types_of_Activity[Classification])=2,Term1_Day_2[[#This Row],[Elapsed]],0))</f>
        <v/>
      </c>
      <c r="P18" s="135"/>
      <c r="Q18" s="135"/>
      <c r="R18" s="102"/>
      <c r="S18" s="105" t="str">
        <f>IF(OR(ISBLANK(Term1_Day_3[[#This Row],[Start]]),ISBLANK(Term1_Day_3[[#This Row],[End]])),"",(Term1_Day_3[[#This Row],[End]]-Term1_Day_3[[#This Row],[Start]])*1440)</f>
        <v/>
      </c>
      <c r="T18" s="105" t="str">
        <f>IF(ISBLANK(Term1_Day_3[[#This Row],[Activity]]),"",IF(_xlfn.XLOOKUP(Term1_Day_3[[#This Row],[Activity]],Types_of_Activity[Type of Activity],Types_of_Activity[Classification])=1,Term1_Day_3[[#This Row],[Elapsed]],0))</f>
        <v/>
      </c>
      <c r="U18" s="105" t="str">
        <f>IF(ISBLANK(Term1_Day_3[[#This Row],[Activity]]),"",IF(_xlfn.XLOOKUP(Term1_Day_3[[#This Row],[Activity]],Types_of_Activity[Type of Activity],Types_of_Activity[Classification])=2,Term1_Day_3[[#This Row],[Elapsed]],0))</f>
        <v/>
      </c>
      <c r="W18" s="135"/>
      <c r="X18" s="135"/>
      <c r="Y18" s="102"/>
      <c r="Z18" s="105" t="str">
        <f>IF(OR(ISBLANK(Term1_Day_4[[#This Row],[Start]]),ISBLANK(Term1_Day_4[[#This Row],[End]])),"",(Term1_Day_4[[#This Row],[End]]-Term1_Day_4[[#This Row],[Start]])*1440)</f>
        <v/>
      </c>
      <c r="AA18" s="105" t="str">
        <f>IF(ISBLANK(Term1_Day_4[[#This Row],[Activity]]),"",IF(_xlfn.XLOOKUP(Term1_Day_4[[#This Row],[Activity]],Types_of_Activity[Type of Activity],Types_of_Activity[Classification])=1,Term1_Day_4[[#This Row],[Elapsed]],0))</f>
        <v/>
      </c>
      <c r="AB18" s="105" t="str">
        <f>IF(ISBLANK(Term1_Day_4[[#This Row],[Activity]]),"",IF(_xlfn.XLOOKUP(Term1_Day_4[[#This Row],[Activity]],Types_of_Activity[Type of Activity],Types_of_Activity[Classification])=2,Term1_Day_4[[#This Row],[Elapsed]],0))</f>
        <v/>
      </c>
      <c r="AD18" s="135"/>
      <c r="AE18" s="135"/>
      <c r="AF18" s="102"/>
      <c r="AG18" s="105" t="str">
        <f>IF(OR(ISBLANK(Term1_Day_5[[#This Row],[Start]]),ISBLANK(Term1_Day_5[[#This Row],[End]])),"",(Term1_Day_5[[#This Row],[End]]-Term1_Day_5[[#This Row],[Start]])*1440)</f>
        <v/>
      </c>
      <c r="AH18" s="105" t="str">
        <f>IF(ISBLANK(Term1_Day_5[[#This Row],[Activity]]),"",IF(_xlfn.XLOOKUP(Term1_Day_5[[#This Row],[Activity]],Types_of_Activity[Type of Activity],Types_of_Activity[Classification])=1,Term1_Day_5[[#This Row],[Elapsed]],0))</f>
        <v/>
      </c>
      <c r="AI18" s="105" t="str">
        <f>IF(ISBLANK(Term1_Day_5[[#This Row],[Activity]]),"",IF(_xlfn.XLOOKUP(Term1_Day_5[[#This Row],[Activity]],Types_of_Activity[Type of Activity],Types_of_Activity[Classification])=2,Term1_Day_5[[#This Row],[Elapsed]],0))</f>
        <v/>
      </c>
      <c r="AK18" s="135"/>
      <c r="AL18" s="135"/>
      <c r="AM18" s="102"/>
      <c r="AN18" s="105" t="str">
        <f>IF(OR(ISBLANK(Term1_Day_6[[#This Row],[Start]]),ISBLANK(Term1_Day_6[[#This Row],[End]])),"",(Term1_Day_6[[#This Row],[End]]-Term1_Day_6[[#This Row],[Start]])*1440)</f>
        <v/>
      </c>
      <c r="AO18" s="105" t="str">
        <f>IF(ISBLANK(Term1_Day_6[[#This Row],[Activity]]),"",IF(_xlfn.XLOOKUP(Term1_Day_6[[#This Row],[Activity]],Types_of_Activity[Type of Activity],Types_of_Activity[Classification])=1,Term1_Day_6[[#This Row],[Elapsed]],0))</f>
        <v/>
      </c>
      <c r="AP18" s="105" t="str">
        <f>IF(ISBLANK(Term1_Day_6[[#This Row],[Activity]]),"",IF(_xlfn.XLOOKUP(Term1_Day_6[[#This Row],[Activity]],Types_of_Activity[Type of Activity],Types_of_Activity[Classification])=2,Term1_Day_6[[#This Row],[Elapsed]],0))</f>
        <v/>
      </c>
      <c r="AR18" s="135"/>
      <c r="AS18" s="135"/>
      <c r="AT18" s="102"/>
      <c r="AU18" s="105" t="str">
        <f>IF(OR(ISBLANK(Term1_Day_7[[#This Row],[Start]]),ISBLANK(Term1_Day_7[[#This Row],[End]])),"",(Term1_Day_7[[#This Row],[End]]-Term1_Day_7[[#This Row],[Start]])*1440)</f>
        <v/>
      </c>
      <c r="AV18" s="105" t="str">
        <f>IF(ISBLANK(Term1_Day_7[[#This Row],[Activity]]),"",IF(_xlfn.XLOOKUP(Term1_Day_7[[#This Row],[Activity]],Types_of_Activity[Type of Activity],Types_of_Activity[Classification])=1,Term1_Day_7[[#This Row],[Elapsed]],0))</f>
        <v/>
      </c>
      <c r="AW18" s="105" t="str">
        <f>IF(ISBLANK(Term1_Day_7[[#This Row],[Activity]]),"",IF(_xlfn.XLOOKUP(Term1_Day_7[[#This Row],[Activity]],Types_of_Activity[Type of Activity],Types_of_Activity[Classification])=2,Term1_Day_7[[#This Row],[Elapsed]],0))</f>
        <v/>
      </c>
      <c r="AY18" s="135"/>
      <c r="AZ18" s="135"/>
      <c r="BA18" s="102"/>
      <c r="BB18" s="105" t="str">
        <f>IF(OR(ISBLANK(Term1_Day_8[[#This Row],[Start]]),ISBLANK(Term1_Day_8[[#This Row],[End]])),"",(Term1_Day_8[[#This Row],[End]]-Term1_Day_8[[#This Row],[Start]])*1440)</f>
        <v/>
      </c>
      <c r="BC18" s="105" t="str">
        <f>IF(ISBLANK(Term1_Day_8[[#This Row],[Activity]]),"",IF(_xlfn.XLOOKUP(Term1_Day_8[[#This Row],[Activity]],Types_of_Activity[Type of Activity],Types_of_Activity[Classification])=1,Term1_Day_8[[#This Row],[Elapsed]],0))</f>
        <v/>
      </c>
      <c r="BD18" s="105" t="str">
        <f>IF(ISBLANK(Term1_Day_8[[#This Row],[Activity]]),"",IF(_xlfn.XLOOKUP(Term1_Day_8[[#This Row],[Activity]],Types_of_Activity[Type of Activity],Types_of_Activity[Classification])=2,Term1_Day_8[[#This Row],[Elapsed]],0))</f>
        <v/>
      </c>
      <c r="BF18" s="135"/>
      <c r="BG18" s="135"/>
      <c r="BH18" s="102"/>
      <c r="BI18" s="105" t="str">
        <f>IF(OR(ISBLANK(Term1_Day_9[[#This Row],[Start]]),ISBLANK(Term1_Day_9[[#This Row],[End]])),"",(Term1_Day_9[[#This Row],[End]]-Term1_Day_9[[#This Row],[Start]])*1440)</f>
        <v/>
      </c>
      <c r="BJ18" s="105" t="str">
        <f>IF(ISBLANK(Term1_Day_9[[#This Row],[Activity]]),"",IF(_xlfn.XLOOKUP(Term1_Day_9[[#This Row],[Activity]],Types_of_Activity[Type of Activity],Types_of_Activity[Classification])=1,Term1_Day_9[[#This Row],[Elapsed]],0))</f>
        <v/>
      </c>
      <c r="BK18" s="105" t="str">
        <f>IF(ISBLANK(Term1_Day_9[[#This Row],[Activity]]),"",IF(_xlfn.XLOOKUP(Term1_Day_9[[#This Row],[Activity]],Types_of_Activity[Type of Activity],Types_of_Activity[Classification])=2,Term1_Day_9[[#This Row],[Elapsed]],0))</f>
        <v/>
      </c>
      <c r="BM18" s="135"/>
      <c r="BN18" s="135"/>
      <c r="BO18" s="102"/>
      <c r="BP18" s="105" t="str">
        <f>IF(OR(ISBLANK(Term1_Day_10[[#This Row],[Start]]),ISBLANK(Term1_Day_10[[#This Row],[End]])),"",(Term1_Day_10[[#This Row],[End]]-Term1_Day_10[[#This Row],[Start]])*1440)</f>
        <v/>
      </c>
      <c r="BQ18" s="105" t="str">
        <f>IF(ISBLANK(Term1_Day_10[[#This Row],[Activity]]),"",IF(_xlfn.XLOOKUP(Term1_Day_10[[#This Row],[Activity]],Types_of_Activity[Type of Activity],Types_of_Activity[Classification])=1,Term1_Day_10[[#This Row],[Elapsed]],0))</f>
        <v/>
      </c>
      <c r="BR18" s="105" t="str">
        <f>IF(ISBLANK(Term1_Day_10[[#This Row],[Activity]]),"",IF(_xlfn.XLOOKUP(Term1_Day_10[[#This Row],[Activity]],Types_of_Activity[Type of Activity],Types_of_Activity[Classification])=2,Term1_Day_10[[#This Row],[Elapsed]],0))</f>
        <v/>
      </c>
    </row>
    <row r="19" spans="2:71" x14ac:dyDescent="0.3">
      <c r="B19" s="135">
        <v>0.35069444444444442</v>
      </c>
      <c r="C19" s="135">
        <v>0.35208333333333336</v>
      </c>
      <c r="D19" s="102" t="s">
        <v>4065</v>
      </c>
      <c r="E19" s="105">
        <f>IF(OR(ISBLANK(Term1_Day_1[[#This Row],[Start]]),ISBLANK(Term1_Day_1[[#This Row],[End]])),"",(Term1_Day_1[[#This Row],[End]]-Term1_Day_1[[#This Row],[Start]])*1440)</f>
        <v>2.0000000000000728</v>
      </c>
      <c r="F19" s="105">
        <f>IF(ISBLANK(Term1_Day_1[[#This Row],[Activity]]),"",IF(_xlfn.XLOOKUP(Term1_Day_1[[#This Row],[Activity]],Types_of_Activity[Type of Activity],Types_of_Activity[Classification])=1,Term1_Day_1[[#This Row],[Elapsed]],0))</f>
        <v>0</v>
      </c>
      <c r="G19" s="105">
        <f>IF(ISBLANK(Term1_Day_1[[#This Row],[Activity]]),"",IF(_xlfn.XLOOKUP(Term1_Day_1[[#This Row],[Activity]],Types_of_Activity[Type of Activity],Types_of_Activity[Classification])=2,Term1_Day_1[[#This Row],[Elapsed]],0))</f>
        <v>2.0000000000000728</v>
      </c>
      <c r="I19" s="135"/>
      <c r="J19" s="135"/>
      <c r="K19" s="102"/>
      <c r="L19" s="105" t="str">
        <f>IF(OR(ISBLANK(Term1_Day_2[[#This Row],[Start]]),ISBLANK(Term1_Day_2[[#This Row],[End]])),"",(Term1_Day_2[[#This Row],[End]]-Term1_Day_2[[#This Row],[Start]])*1440)</f>
        <v/>
      </c>
      <c r="M19" s="105" t="str">
        <f>IF(ISBLANK(Term1_Day_2[[#This Row],[Activity]]),"",IF(_xlfn.XLOOKUP(Term1_Day_2[[#This Row],[Activity]],Types_of_Activity[Type of Activity],Types_of_Activity[Classification])=1,Term1_Day_2[[#This Row],[Elapsed]],0))</f>
        <v/>
      </c>
      <c r="N19" s="105" t="str">
        <f>IF(ISBLANK(Term1_Day_2[[#This Row],[Activity]]),"",IF(_xlfn.XLOOKUP(Term1_Day_2[[#This Row],[Activity]],Types_of_Activity[Type of Activity],Types_of_Activity[Classification])=2,Term1_Day_2[[#This Row],[Elapsed]],0))</f>
        <v/>
      </c>
      <c r="P19" s="135"/>
      <c r="Q19" s="135"/>
      <c r="R19" s="102"/>
      <c r="S19" s="105" t="str">
        <f>IF(OR(ISBLANK(Term1_Day_3[[#This Row],[Start]]),ISBLANK(Term1_Day_3[[#This Row],[End]])),"",(Term1_Day_3[[#This Row],[End]]-Term1_Day_3[[#This Row],[Start]])*1440)</f>
        <v/>
      </c>
      <c r="T19" s="105" t="str">
        <f>IF(ISBLANK(Term1_Day_3[[#This Row],[Activity]]),"",IF(_xlfn.XLOOKUP(Term1_Day_3[[#This Row],[Activity]],Types_of_Activity[Type of Activity],Types_of_Activity[Classification])=1,Term1_Day_3[[#This Row],[Elapsed]],0))</f>
        <v/>
      </c>
      <c r="U19" s="105" t="str">
        <f>IF(ISBLANK(Term1_Day_3[[#This Row],[Activity]]),"",IF(_xlfn.XLOOKUP(Term1_Day_3[[#This Row],[Activity]],Types_of_Activity[Type of Activity],Types_of_Activity[Classification])=2,Term1_Day_3[[#This Row],[Elapsed]],0))</f>
        <v/>
      </c>
      <c r="W19" s="135"/>
      <c r="X19" s="135"/>
      <c r="Y19" s="102"/>
      <c r="Z19" s="105" t="str">
        <f>IF(OR(ISBLANK(Term1_Day_4[[#This Row],[Start]]),ISBLANK(Term1_Day_4[[#This Row],[End]])),"",(Term1_Day_4[[#This Row],[End]]-Term1_Day_4[[#This Row],[Start]])*1440)</f>
        <v/>
      </c>
      <c r="AA19" s="105" t="str">
        <f>IF(ISBLANK(Term1_Day_4[[#This Row],[Activity]]),"",IF(_xlfn.XLOOKUP(Term1_Day_4[[#This Row],[Activity]],Types_of_Activity[Type of Activity],Types_of_Activity[Classification])=1,Term1_Day_4[[#This Row],[Elapsed]],0))</f>
        <v/>
      </c>
      <c r="AB19" s="105" t="str">
        <f>IF(ISBLANK(Term1_Day_4[[#This Row],[Activity]]),"",IF(_xlfn.XLOOKUP(Term1_Day_4[[#This Row],[Activity]],Types_of_Activity[Type of Activity],Types_of_Activity[Classification])=2,Term1_Day_4[[#This Row],[Elapsed]],0))</f>
        <v/>
      </c>
      <c r="AD19" s="135"/>
      <c r="AE19" s="135"/>
      <c r="AF19" s="102"/>
      <c r="AG19" s="105" t="str">
        <f>IF(OR(ISBLANK(Term1_Day_5[[#This Row],[Start]]),ISBLANK(Term1_Day_5[[#This Row],[End]])),"",(Term1_Day_5[[#This Row],[End]]-Term1_Day_5[[#This Row],[Start]])*1440)</f>
        <v/>
      </c>
      <c r="AH19" s="105" t="str">
        <f>IF(ISBLANK(Term1_Day_5[[#This Row],[Activity]]),"",IF(_xlfn.XLOOKUP(Term1_Day_5[[#This Row],[Activity]],Types_of_Activity[Type of Activity],Types_of_Activity[Classification])=1,Term1_Day_5[[#This Row],[Elapsed]],0))</f>
        <v/>
      </c>
      <c r="AI19" s="105" t="str">
        <f>IF(ISBLANK(Term1_Day_5[[#This Row],[Activity]]),"",IF(_xlfn.XLOOKUP(Term1_Day_5[[#This Row],[Activity]],Types_of_Activity[Type of Activity],Types_of_Activity[Classification])=2,Term1_Day_5[[#This Row],[Elapsed]],0))</f>
        <v/>
      </c>
      <c r="AK19" s="135"/>
      <c r="AL19" s="135"/>
      <c r="AM19" s="102"/>
      <c r="AN19" s="105" t="str">
        <f>IF(OR(ISBLANK(Term1_Day_6[[#This Row],[Start]]),ISBLANK(Term1_Day_6[[#This Row],[End]])),"",(Term1_Day_6[[#This Row],[End]]-Term1_Day_6[[#This Row],[Start]])*1440)</f>
        <v/>
      </c>
      <c r="AO19" s="105" t="str">
        <f>IF(ISBLANK(Term1_Day_6[[#This Row],[Activity]]),"",IF(_xlfn.XLOOKUP(Term1_Day_6[[#This Row],[Activity]],Types_of_Activity[Type of Activity],Types_of_Activity[Classification])=1,Term1_Day_6[[#This Row],[Elapsed]],0))</f>
        <v/>
      </c>
      <c r="AP19" s="105" t="str">
        <f>IF(ISBLANK(Term1_Day_6[[#This Row],[Activity]]),"",IF(_xlfn.XLOOKUP(Term1_Day_6[[#This Row],[Activity]],Types_of_Activity[Type of Activity],Types_of_Activity[Classification])=2,Term1_Day_6[[#This Row],[Elapsed]],0))</f>
        <v/>
      </c>
      <c r="AR19" s="135"/>
      <c r="AS19" s="135"/>
      <c r="AT19" s="102"/>
      <c r="AU19" s="105" t="str">
        <f>IF(OR(ISBLANK(Term1_Day_7[[#This Row],[Start]]),ISBLANK(Term1_Day_7[[#This Row],[End]])),"",(Term1_Day_7[[#This Row],[End]]-Term1_Day_7[[#This Row],[Start]])*1440)</f>
        <v/>
      </c>
      <c r="AV19" s="105" t="str">
        <f>IF(ISBLANK(Term1_Day_7[[#This Row],[Activity]]),"",IF(_xlfn.XLOOKUP(Term1_Day_7[[#This Row],[Activity]],Types_of_Activity[Type of Activity],Types_of_Activity[Classification])=1,Term1_Day_7[[#This Row],[Elapsed]],0))</f>
        <v/>
      </c>
      <c r="AW19" s="105" t="str">
        <f>IF(ISBLANK(Term1_Day_7[[#This Row],[Activity]]),"",IF(_xlfn.XLOOKUP(Term1_Day_7[[#This Row],[Activity]],Types_of_Activity[Type of Activity],Types_of_Activity[Classification])=2,Term1_Day_7[[#This Row],[Elapsed]],0))</f>
        <v/>
      </c>
      <c r="AY19" s="135"/>
      <c r="AZ19" s="135"/>
      <c r="BA19" s="102"/>
      <c r="BB19" s="105" t="str">
        <f>IF(OR(ISBLANK(Term1_Day_8[[#This Row],[Start]]),ISBLANK(Term1_Day_8[[#This Row],[End]])),"",(Term1_Day_8[[#This Row],[End]]-Term1_Day_8[[#This Row],[Start]])*1440)</f>
        <v/>
      </c>
      <c r="BC19" s="105" t="str">
        <f>IF(ISBLANK(Term1_Day_8[[#This Row],[Activity]]),"",IF(_xlfn.XLOOKUP(Term1_Day_8[[#This Row],[Activity]],Types_of_Activity[Type of Activity],Types_of_Activity[Classification])=1,Term1_Day_8[[#This Row],[Elapsed]],0))</f>
        <v/>
      </c>
      <c r="BD19" s="105" t="str">
        <f>IF(ISBLANK(Term1_Day_8[[#This Row],[Activity]]),"",IF(_xlfn.XLOOKUP(Term1_Day_8[[#This Row],[Activity]],Types_of_Activity[Type of Activity],Types_of_Activity[Classification])=2,Term1_Day_8[[#This Row],[Elapsed]],0))</f>
        <v/>
      </c>
      <c r="BF19" s="135"/>
      <c r="BG19" s="135"/>
      <c r="BH19" s="102"/>
      <c r="BI19" s="105" t="str">
        <f>IF(OR(ISBLANK(Term1_Day_9[[#This Row],[Start]]),ISBLANK(Term1_Day_9[[#This Row],[End]])),"",(Term1_Day_9[[#This Row],[End]]-Term1_Day_9[[#This Row],[Start]])*1440)</f>
        <v/>
      </c>
      <c r="BJ19" s="105" t="str">
        <f>IF(ISBLANK(Term1_Day_9[[#This Row],[Activity]]),"",IF(_xlfn.XLOOKUP(Term1_Day_9[[#This Row],[Activity]],Types_of_Activity[Type of Activity],Types_of_Activity[Classification])=1,Term1_Day_9[[#This Row],[Elapsed]],0))</f>
        <v/>
      </c>
      <c r="BK19" s="105" t="str">
        <f>IF(ISBLANK(Term1_Day_9[[#This Row],[Activity]]),"",IF(_xlfn.XLOOKUP(Term1_Day_9[[#This Row],[Activity]],Types_of_Activity[Type of Activity],Types_of_Activity[Classification])=2,Term1_Day_9[[#This Row],[Elapsed]],0))</f>
        <v/>
      </c>
      <c r="BM19" s="135"/>
      <c r="BN19" s="135"/>
      <c r="BO19" s="102"/>
      <c r="BP19" s="105" t="str">
        <f>IF(OR(ISBLANK(Term1_Day_10[[#This Row],[Start]]),ISBLANK(Term1_Day_10[[#This Row],[End]])),"",(Term1_Day_10[[#This Row],[End]]-Term1_Day_10[[#This Row],[Start]])*1440)</f>
        <v/>
      </c>
      <c r="BQ19" s="105" t="str">
        <f>IF(ISBLANK(Term1_Day_10[[#This Row],[Activity]]),"",IF(_xlfn.XLOOKUP(Term1_Day_10[[#This Row],[Activity]],Types_of_Activity[Type of Activity],Types_of_Activity[Classification])=1,Term1_Day_10[[#This Row],[Elapsed]],0))</f>
        <v/>
      </c>
      <c r="BR19" s="105" t="str">
        <f>IF(ISBLANK(Term1_Day_10[[#This Row],[Activity]]),"",IF(_xlfn.XLOOKUP(Term1_Day_10[[#This Row],[Activity]],Types_of_Activity[Type of Activity],Types_of_Activity[Classification])=2,Term1_Day_10[[#This Row],[Elapsed]],0))</f>
        <v/>
      </c>
    </row>
    <row r="20" spans="2:71" x14ac:dyDescent="0.3">
      <c r="B20" s="135">
        <v>0.35208333333333336</v>
      </c>
      <c r="C20" s="135">
        <v>0.3923611111111111</v>
      </c>
      <c r="D20" s="102" t="s">
        <v>4039</v>
      </c>
      <c r="E20" s="105">
        <f>IF(OR(ISBLANK(Term1_Day_1[[#This Row],[Start]]),ISBLANK(Term1_Day_1[[#This Row],[End]])),"",(Term1_Day_1[[#This Row],[End]]-Term1_Day_1[[#This Row],[Start]])*1440)</f>
        <v>57.999999999999957</v>
      </c>
      <c r="F20" s="105">
        <f>IF(ISBLANK(Term1_Day_1[[#This Row],[Activity]]),"",IF(_xlfn.XLOOKUP(Term1_Day_1[[#This Row],[Activity]],Types_of_Activity[Type of Activity],Types_of_Activity[Classification])=1,Term1_Day_1[[#This Row],[Elapsed]],0))</f>
        <v>57.999999999999957</v>
      </c>
      <c r="G20" s="105">
        <f>IF(ISBLANK(Term1_Day_1[[#This Row],[Activity]]),"",IF(_xlfn.XLOOKUP(Term1_Day_1[[#This Row],[Activity]],Types_of_Activity[Type of Activity],Types_of_Activity[Classification])=2,Term1_Day_1[[#This Row],[Elapsed]],0))</f>
        <v>0</v>
      </c>
      <c r="I20" s="135"/>
      <c r="J20" s="135"/>
      <c r="K20" s="102"/>
      <c r="L20" s="105" t="str">
        <f>IF(OR(ISBLANK(Term1_Day_2[[#This Row],[Start]]),ISBLANK(Term1_Day_2[[#This Row],[End]])),"",(Term1_Day_2[[#This Row],[End]]-Term1_Day_2[[#This Row],[Start]])*1440)</f>
        <v/>
      </c>
      <c r="M20" s="105" t="str">
        <f>IF(ISBLANK(Term1_Day_2[[#This Row],[Activity]]),"",IF(_xlfn.XLOOKUP(Term1_Day_2[[#This Row],[Activity]],Types_of_Activity[Type of Activity],Types_of_Activity[Classification])=1,Term1_Day_2[[#This Row],[Elapsed]],0))</f>
        <v/>
      </c>
      <c r="N20" s="105" t="str">
        <f>IF(ISBLANK(Term1_Day_2[[#This Row],[Activity]]),"",IF(_xlfn.XLOOKUP(Term1_Day_2[[#This Row],[Activity]],Types_of_Activity[Type of Activity],Types_of_Activity[Classification])=2,Term1_Day_2[[#This Row],[Elapsed]],0))</f>
        <v/>
      </c>
      <c r="P20" s="135"/>
      <c r="Q20" s="135"/>
      <c r="R20" s="102"/>
      <c r="S20" s="105" t="str">
        <f>IF(OR(ISBLANK(Term1_Day_3[[#This Row],[Start]]),ISBLANK(Term1_Day_3[[#This Row],[End]])),"",(Term1_Day_3[[#This Row],[End]]-Term1_Day_3[[#This Row],[Start]])*1440)</f>
        <v/>
      </c>
      <c r="T20" s="105" t="str">
        <f>IF(ISBLANK(Term1_Day_3[[#This Row],[Activity]]),"",IF(_xlfn.XLOOKUP(Term1_Day_3[[#This Row],[Activity]],Types_of_Activity[Type of Activity],Types_of_Activity[Classification])=1,Term1_Day_3[[#This Row],[Elapsed]],0))</f>
        <v/>
      </c>
      <c r="U20" s="105" t="str">
        <f>IF(ISBLANK(Term1_Day_3[[#This Row],[Activity]]),"",IF(_xlfn.XLOOKUP(Term1_Day_3[[#This Row],[Activity]],Types_of_Activity[Type of Activity],Types_of_Activity[Classification])=2,Term1_Day_3[[#This Row],[Elapsed]],0))</f>
        <v/>
      </c>
      <c r="W20" s="135"/>
      <c r="X20" s="135"/>
      <c r="Y20" s="102"/>
      <c r="Z20" s="105" t="str">
        <f>IF(OR(ISBLANK(Term1_Day_4[[#This Row],[Start]]),ISBLANK(Term1_Day_4[[#This Row],[End]])),"",(Term1_Day_4[[#This Row],[End]]-Term1_Day_4[[#This Row],[Start]])*1440)</f>
        <v/>
      </c>
      <c r="AA20" s="105" t="str">
        <f>IF(ISBLANK(Term1_Day_4[[#This Row],[Activity]]),"",IF(_xlfn.XLOOKUP(Term1_Day_4[[#This Row],[Activity]],Types_of_Activity[Type of Activity],Types_of_Activity[Classification])=1,Term1_Day_4[[#This Row],[Elapsed]],0))</f>
        <v/>
      </c>
      <c r="AB20" s="105" t="str">
        <f>IF(ISBLANK(Term1_Day_4[[#This Row],[Activity]]),"",IF(_xlfn.XLOOKUP(Term1_Day_4[[#This Row],[Activity]],Types_of_Activity[Type of Activity],Types_of_Activity[Classification])=2,Term1_Day_4[[#This Row],[Elapsed]],0))</f>
        <v/>
      </c>
      <c r="AD20" s="135"/>
      <c r="AE20" s="135"/>
      <c r="AF20" s="102"/>
      <c r="AG20" s="105" t="str">
        <f>IF(OR(ISBLANK(Term1_Day_5[[#This Row],[Start]]),ISBLANK(Term1_Day_5[[#This Row],[End]])),"",(Term1_Day_5[[#This Row],[End]]-Term1_Day_5[[#This Row],[Start]])*1440)</f>
        <v/>
      </c>
      <c r="AH20" s="105" t="str">
        <f>IF(ISBLANK(Term1_Day_5[[#This Row],[Activity]]),"",IF(_xlfn.XLOOKUP(Term1_Day_5[[#This Row],[Activity]],Types_of_Activity[Type of Activity],Types_of_Activity[Classification])=1,Term1_Day_5[[#This Row],[Elapsed]],0))</f>
        <v/>
      </c>
      <c r="AI20" s="105" t="str">
        <f>IF(ISBLANK(Term1_Day_5[[#This Row],[Activity]]),"",IF(_xlfn.XLOOKUP(Term1_Day_5[[#This Row],[Activity]],Types_of_Activity[Type of Activity],Types_of_Activity[Classification])=2,Term1_Day_5[[#This Row],[Elapsed]],0))</f>
        <v/>
      </c>
      <c r="AJ20" s="106"/>
      <c r="AK20" s="135"/>
      <c r="AL20" s="135"/>
      <c r="AM20" s="102"/>
      <c r="AN20" s="105" t="str">
        <f>IF(OR(ISBLANK(Term1_Day_6[[#This Row],[Start]]),ISBLANK(Term1_Day_6[[#This Row],[End]])),"",(Term1_Day_6[[#This Row],[End]]-Term1_Day_6[[#This Row],[Start]])*1440)</f>
        <v/>
      </c>
      <c r="AO20" s="105" t="str">
        <f>IF(ISBLANK(Term1_Day_6[[#This Row],[Activity]]),"",IF(_xlfn.XLOOKUP(Term1_Day_6[[#This Row],[Activity]],Types_of_Activity[Type of Activity],Types_of_Activity[Classification])=1,Term1_Day_6[[#This Row],[Elapsed]],0))</f>
        <v/>
      </c>
      <c r="AP20" s="105" t="str">
        <f>IF(ISBLANK(Term1_Day_6[[#This Row],[Activity]]),"",IF(_xlfn.XLOOKUP(Term1_Day_6[[#This Row],[Activity]],Types_of_Activity[Type of Activity],Types_of_Activity[Classification])=2,Term1_Day_6[[#This Row],[Elapsed]],0))</f>
        <v/>
      </c>
      <c r="AQ20" s="106"/>
      <c r="AR20" s="135"/>
      <c r="AS20" s="135"/>
      <c r="AT20" s="102"/>
      <c r="AU20" s="105" t="str">
        <f>IF(OR(ISBLANK(Term1_Day_7[[#This Row],[Start]]),ISBLANK(Term1_Day_7[[#This Row],[End]])),"",(Term1_Day_7[[#This Row],[End]]-Term1_Day_7[[#This Row],[Start]])*1440)</f>
        <v/>
      </c>
      <c r="AV20" s="105" t="str">
        <f>IF(ISBLANK(Term1_Day_7[[#This Row],[Activity]]),"",IF(_xlfn.XLOOKUP(Term1_Day_7[[#This Row],[Activity]],Types_of_Activity[Type of Activity],Types_of_Activity[Classification])=1,Term1_Day_7[[#This Row],[Elapsed]],0))</f>
        <v/>
      </c>
      <c r="AW20" s="105" t="str">
        <f>IF(ISBLANK(Term1_Day_7[[#This Row],[Activity]]),"",IF(_xlfn.XLOOKUP(Term1_Day_7[[#This Row],[Activity]],Types_of_Activity[Type of Activity],Types_of_Activity[Classification])=2,Term1_Day_7[[#This Row],[Elapsed]],0))</f>
        <v/>
      </c>
      <c r="AX20" s="106"/>
      <c r="AY20" s="135"/>
      <c r="AZ20" s="135"/>
      <c r="BA20" s="102"/>
      <c r="BB20" s="105" t="str">
        <f>IF(OR(ISBLANK(Term1_Day_8[[#This Row],[Start]]),ISBLANK(Term1_Day_8[[#This Row],[End]])),"",(Term1_Day_8[[#This Row],[End]]-Term1_Day_8[[#This Row],[Start]])*1440)</f>
        <v/>
      </c>
      <c r="BC20" s="105" t="str">
        <f>IF(ISBLANK(Term1_Day_8[[#This Row],[Activity]]),"",IF(_xlfn.XLOOKUP(Term1_Day_8[[#This Row],[Activity]],Types_of_Activity[Type of Activity],Types_of_Activity[Classification])=1,Term1_Day_8[[#This Row],[Elapsed]],0))</f>
        <v/>
      </c>
      <c r="BD20" s="105" t="str">
        <f>IF(ISBLANK(Term1_Day_8[[#This Row],[Activity]]),"",IF(_xlfn.XLOOKUP(Term1_Day_8[[#This Row],[Activity]],Types_of_Activity[Type of Activity],Types_of_Activity[Classification])=2,Term1_Day_8[[#This Row],[Elapsed]],0))</f>
        <v/>
      </c>
      <c r="BE20" s="106"/>
      <c r="BF20" s="135"/>
      <c r="BG20" s="135"/>
      <c r="BH20" s="102"/>
      <c r="BI20" s="105" t="str">
        <f>IF(OR(ISBLANK(Term1_Day_9[[#This Row],[Start]]),ISBLANK(Term1_Day_9[[#This Row],[End]])),"",(Term1_Day_9[[#This Row],[End]]-Term1_Day_9[[#This Row],[Start]])*1440)</f>
        <v/>
      </c>
      <c r="BJ20" s="105" t="str">
        <f>IF(ISBLANK(Term1_Day_9[[#This Row],[Activity]]),"",IF(_xlfn.XLOOKUP(Term1_Day_9[[#This Row],[Activity]],Types_of_Activity[Type of Activity],Types_of_Activity[Classification])=1,Term1_Day_9[[#This Row],[Elapsed]],0))</f>
        <v/>
      </c>
      <c r="BK20" s="105" t="str">
        <f>IF(ISBLANK(Term1_Day_9[[#This Row],[Activity]]),"",IF(_xlfn.XLOOKUP(Term1_Day_9[[#This Row],[Activity]],Types_of_Activity[Type of Activity],Types_of_Activity[Classification])=2,Term1_Day_9[[#This Row],[Elapsed]],0))</f>
        <v/>
      </c>
      <c r="BL20" s="106"/>
      <c r="BM20" s="135"/>
      <c r="BN20" s="135"/>
      <c r="BO20" s="102"/>
      <c r="BP20" s="105" t="str">
        <f>IF(OR(ISBLANK(Term1_Day_10[[#This Row],[Start]]),ISBLANK(Term1_Day_10[[#This Row],[End]])),"",(Term1_Day_10[[#This Row],[End]]-Term1_Day_10[[#This Row],[Start]])*1440)</f>
        <v/>
      </c>
      <c r="BQ20" s="105" t="str">
        <f>IF(ISBLANK(Term1_Day_10[[#This Row],[Activity]]),"",IF(_xlfn.XLOOKUP(Term1_Day_10[[#This Row],[Activity]],Types_of_Activity[Type of Activity],Types_of_Activity[Classification])=1,Term1_Day_10[[#This Row],[Elapsed]],0))</f>
        <v/>
      </c>
      <c r="BR20" s="105" t="str">
        <f>IF(ISBLANK(Term1_Day_10[[#This Row],[Activity]]),"",IF(_xlfn.XLOOKUP(Term1_Day_10[[#This Row],[Activity]],Types_of_Activity[Type of Activity],Types_of_Activity[Classification])=2,Term1_Day_10[[#This Row],[Elapsed]],0))</f>
        <v/>
      </c>
      <c r="BS20" s="106"/>
    </row>
    <row r="21" spans="2:71" x14ac:dyDescent="0.3">
      <c r="B21" s="135"/>
      <c r="C21" s="135"/>
      <c r="D21" s="102"/>
      <c r="E21" s="105" t="str">
        <f>IF(OR(ISBLANK(Term1_Day_1[[#This Row],[Start]]),ISBLANK(Term1_Day_1[[#This Row],[End]])),"",(Term1_Day_1[[#This Row],[End]]-Term1_Day_1[[#This Row],[Start]])*1440)</f>
        <v/>
      </c>
      <c r="F21" s="105" t="str">
        <f>IF(ISBLANK(Term1_Day_1[[#This Row],[Activity]]),"",IF(_xlfn.XLOOKUP(Term1_Day_1[[#This Row],[Activity]],Types_of_Activity[Type of Activity],Types_of_Activity[Classification])=1,Term1_Day_1[[#This Row],[Elapsed]],0))</f>
        <v/>
      </c>
      <c r="G21" s="105" t="str">
        <f>IF(ISBLANK(Term1_Day_1[[#This Row],[Activity]]),"",IF(_xlfn.XLOOKUP(Term1_Day_1[[#This Row],[Activity]],Types_of_Activity[Type of Activity],Types_of_Activity[Classification])=2,Term1_Day_1[[#This Row],[Elapsed]],0))</f>
        <v/>
      </c>
      <c r="I21" s="135"/>
      <c r="J21" s="135"/>
      <c r="K21" s="102"/>
      <c r="L21" s="105" t="str">
        <f>IF(OR(ISBLANK(Term1_Day_2[[#This Row],[Start]]),ISBLANK(Term1_Day_2[[#This Row],[End]])),"",(Term1_Day_2[[#This Row],[End]]-Term1_Day_2[[#This Row],[Start]])*1440)</f>
        <v/>
      </c>
      <c r="M21" s="105" t="str">
        <f>IF(ISBLANK(Term1_Day_2[[#This Row],[Activity]]),"",IF(_xlfn.XLOOKUP(Term1_Day_2[[#This Row],[Activity]],Types_of_Activity[Type of Activity],Types_of_Activity[Classification])=1,Term1_Day_2[[#This Row],[Elapsed]],0))</f>
        <v/>
      </c>
      <c r="N21" s="105" t="str">
        <f>IF(ISBLANK(Term1_Day_2[[#This Row],[Activity]]),"",IF(_xlfn.XLOOKUP(Term1_Day_2[[#This Row],[Activity]],Types_of_Activity[Type of Activity],Types_of_Activity[Classification])=2,Term1_Day_2[[#This Row],[Elapsed]],0))</f>
        <v/>
      </c>
      <c r="P21" s="135"/>
      <c r="Q21" s="135"/>
      <c r="R21" s="102"/>
      <c r="S21" s="105" t="str">
        <f>IF(OR(ISBLANK(Term1_Day_3[[#This Row],[Start]]),ISBLANK(Term1_Day_3[[#This Row],[End]])),"",(Term1_Day_3[[#This Row],[End]]-Term1_Day_3[[#This Row],[Start]])*1440)</f>
        <v/>
      </c>
      <c r="T21" s="105" t="str">
        <f>IF(ISBLANK(Term1_Day_3[[#This Row],[Activity]]),"",IF(_xlfn.XLOOKUP(Term1_Day_3[[#This Row],[Activity]],Types_of_Activity[Type of Activity],Types_of_Activity[Classification])=1,Term1_Day_3[[#This Row],[Elapsed]],0))</f>
        <v/>
      </c>
      <c r="U21" s="105" t="str">
        <f>IF(ISBLANK(Term1_Day_3[[#This Row],[Activity]]),"",IF(_xlfn.XLOOKUP(Term1_Day_3[[#This Row],[Activity]],Types_of_Activity[Type of Activity],Types_of_Activity[Classification])=2,Term1_Day_3[[#This Row],[Elapsed]],0))</f>
        <v/>
      </c>
      <c r="W21" s="135"/>
      <c r="X21" s="135"/>
      <c r="Y21" s="102"/>
      <c r="Z21" s="105" t="str">
        <f>IF(OR(ISBLANK(Term1_Day_4[[#This Row],[Start]]),ISBLANK(Term1_Day_4[[#This Row],[End]])),"",(Term1_Day_4[[#This Row],[End]]-Term1_Day_4[[#This Row],[Start]])*1440)</f>
        <v/>
      </c>
      <c r="AA21" s="105" t="str">
        <f>IF(ISBLANK(Term1_Day_4[[#This Row],[Activity]]),"",IF(_xlfn.XLOOKUP(Term1_Day_4[[#This Row],[Activity]],Types_of_Activity[Type of Activity],Types_of_Activity[Classification])=1,Term1_Day_4[[#This Row],[Elapsed]],0))</f>
        <v/>
      </c>
      <c r="AB21" s="105" t="str">
        <f>IF(ISBLANK(Term1_Day_4[[#This Row],[Activity]]),"",IF(_xlfn.XLOOKUP(Term1_Day_4[[#This Row],[Activity]],Types_of_Activity[Type of Activity],Types_of_Activity[Classification])=2,Term1_Day_4[[#This Row],[Elapsed]],0))</f>
        <v/>
      </c>
      <c r="AD21" s="135"/>
      <c r="AE21" s="135"/>
      <c r="AF21" s="102"/>
      <c r="AG21" s="105" t="str">
        <f>IF(OR(ISBLANK(Term1_Day_5[[#This Row],[Start]]),ISBLANK(Term1_Day_5[[#This Row],[End]])),"",(Term1_Day_5[[#This Row],[End]]-Term1_Day_5[[#This Row],[Start]])*1440)</f>
        <v/>
      </c>
      <c r="AH21" s="105" t="str">
        <f>IF(ISBLANK(Term1_Day_5[[#This Row],[Activity]]),"",IF(_xlfn.XLOOKUP(Term1_Day_5[[#This Row],[Activity]],Types_of_Activity[Type of Activity],Types_of_Activity[Classification])=1,Term1_Day_5[[#This Row],[Elapsed]],0))</f>
        <v/>
      </c>
      <c r="AI21" s="105" t="str">
        <f>IF(ISBLANK(Term1_Day_5[[#This Row],[Activity]]),"",IF(_xlfn.XLOOKUP(Term1_Day_5[[#This Row],[Activity]],Types_of_Activity[Type of Activity],Types_of_Activity[Classification])=2,Term1_Day_5[[#This Row],[Elapsed]],0))</f>
        <v/>
      </c>
      <c r="AJ21" s="106"/>
      <c r="AK21" s="135"/>
      <c r="AL21" s="135"/>
      <c r="AM21" s="102"/>
      <c r="AN21" s="105" t="str">
        <f>IF(OR(ISBLANK(Term1_Day_6[[#This Row],[Start]]),ISBLANK(Term1_Day_6[[#This Row],[End]])),"",(Term1_Day_6[[#This Row],[End]]-Term1_Day_6[[#This Row],[Start]])*1440)</f>
        <v/>
      </c>
      <c r="AO21" s="105" t="str">
        <f>IF(ISBLANK(Term1_Day_6[[#This Row],[Activity]]),"",IF(_xlfn.XLOOKUP(Term1_Day_6[[#This Row],[Activity]],Types_of_Activity[Type of Activity],Types_of_Activity[Classification])=1,Term1_Day_6[[#This Row],[Elapsed]],0))</f>
        <v/>
      </c>
      <c r="AP21" s="105" t="str">
        <f>IF(ISBLANK(Term1_Day_6[[#This Row],[Activity]]),"",IF(_xlfn.XLOOKUP(Term1_Day_6[[#This Row],[Activity]],Types_of_Activity[Type of Activity],Types_of_Activity[Classification])=2,Term1_Day_6[[#This Row],[Elapsed]],0))</f>
        <v/>
      </c>
      <c r="AQ21" s="106"/>
      <c r="AR21" s="135"/>
      <c r="AS21" s="135"/>
      <c r="AT21" s="102"/>
      <c r="AU21" s="105" t="str">
        <f>IF(OR(ISBLANK(Term1_Day_7[[#This Row],[Start]]),ISBLANK(Term1_Day_7[[#This Row],[End]])),"",(Term1_Day_7[[#This Row],[End]]-Term1_Day_7[[#This Row],[Start]])*1440)</f>
        <v/>
      </c>
      <c r="AV21" s="105" t="str">
        <f>IF(ISBLANK(Term1_Day_7[[#This Row],[Activity]]),"",IF(_xlfn.XLOOKUP(Term1_Day_7[[#This Row],[Activity]],Types_of_Activity[Type of Activity],Types_of_Activity[Classification])=1,Term1_Day_7[[#This Row],[Elapsed]],0))</f>
        <v/>
      </c>
      <c r="AW21" s="105" t="str">
        <f>IF(ISBLANK(Term1_Day_7[[#This Row],[Activity]]),"",IF(_xlfn.XLOOKUP(Term1_Day_7[[#This Row],[Activity]],Types_of_Activity[Type of Activity],Types_of_Activity[Classification])=2,Term1_Day_7[[#This Row],[Elapsed]],0))</f>
        <v/>
      </c>
      <c r="AX21" s="106"/>
      <c r="AY21" s="135"/>
      <c r="AZ21" s="135"/>
      <c r="BA21" s="102"/>
      <c r="BB21" s="105" t="str">
        <f>IF(OR(ISBLANK(Term1_Day_8[[#This Row],[Start]]),ISBLANK(Term1_Day_8[[#This Row],[End]])),"",(Term1_Day_8[[#This Row],[End]]-Term1_Day_8[[#This Row],[Start]])*1440)</f>
        <v/>
      </c>
      <c r="BC21" s="105" t="str">
        <f>IF(ISBLANK(Term1_Day_8[[#This Row],[Activity]]),"",IF(_xlfn.XLOOKUP(Term1_Day_8[[#This Row],[Activity]],Types_of_Activity[Type of Activity],Types_of_Activity[Classification])=1,Term1_Day_8[[#This Row],[Elapsed]],0))</f>
        <v/>
      </c>
      <c r="BD21" s="105" t="str">
        <f>IF(ISBLANK(Term1_Day_8[[#This Row],[Activity]]),"",IF(_xlfn.XLOOKUP(Term1_Day_8[[#This Row],[Activity]],Types_of_Activity[Type of Activity],Types_of_Activity[Classification])=2,Term1_Day_8[[#This Row],[Elapsed]],0))</f>
        <v/>
      </c>
      <c r="BE21" s="106"/>
      <c r="BF21" s="135"/>
      <c r="BG21" s="135"/>
      <c r="BH21" s="102"/>
      <c r="BI21" s="105" t="str">
        <f>IF(OR(ISBLANK(Term1_Day_9[[#This Row],[Start]]),ISBLANK(Term1_Day_9[[#This Row],[End]])),"",(Term1_Day_9[[#This Row],[End]]-Term1_Day_9[[#This Row],[Start]])*1440)</f>
        <v/>
      </c>
      <c r="BJ21" s="105" t="str">
        <f>IF(ISBLANK(Term1_Day_9[[#This Row],[Activity]]),"",IF(_xlfn.XLOOKUP(Term1_Day_9[[#This Row],[Activity]],Types_of_Activity[Type of Activity],Types_of_Activity[Classification])=1,Term1_Day_9[[#This Row],[Elapsed]],0))</f>
        <v/>
      </c>
      <c r="BK21" s="105" t="str">
        <f>IF(ISBLANK(Term1_Day_9[[#This Row],[Activity]]),"",IF(_xlfn.XLOOKUP(Term1_Day_9[[#This Row],[Activity]],Types_of_Activity[Type of Activity],Types_of_Activity[Classification])=2,Term1_Day_9[[#This Row],[Elapsed]],0))</f>
        <v/>
      </c>
      <c r="BL21" s="106"/>
      <c r="BM21" s="135"/>
      <c r="BN21" s="135"/>
      <c r="BO21" s="102"/>
      <c r="BP21" s="105" t="str">
        <f>IF(OR(ISBLANK(Term1_Day_10[[#This Row],[Start]]),ISBLANK(Term1_Day_10[[#This Row],[End]])),"",(Term1_Day_10[[#This Row],[End]]-Term1_Day_10[[#This Row],[Start]])*1440)</f>
        <v/>
      </c>
      <c r="BQ21" s="105" t="str">
        <f>IF(ISBLANK(Term1_Day_10[[#This Row],[Activity]]),"",IF(_xlfn.XLOOKUP(Term1_Day_10[[#This Row],[Activity]],Types_of_Activity[Type of Activity],Types_of_Activity[Classification])=1,Term1_Day_10[[#This Row],[Elapsed]],0))</f>
        <v/>
      </c>
      <c r="BR21" s="105" t="str">
        <f>IF(ISBLANK(Term1_Day_10[[#This Row],[Activity]]),"",IF(_xlfn.XLOOKUP(Term1_Day_10[[#This Row],[Activity]],Types_of_Activity[Type of Activity],Types_of_Activity[Classification])=2,Term1_Day_10[[#This Row],[Elapsed]],0))</f>
        <v/>
      </c>
      <c r="BS21" s="106"/>
    </row>
    <row r="22" spans="2:71" x14ac:dyDescent="0.3">
      <c r="B22" s="135"/>
      <c r="C22" s="135"/>
      <c r="D22" s="102"/>
      <c r="E22" s="105" t="str">
        <f>IF(OR(ISBLANK(Term1_Day_1[[#This Row],[Start]]),ISBLANK(Term1_Day_1[[#This Row],[End]])),"",(Term1_Day_1[[#This Row],[End]]-Term1_Day_1[[#This Row],[Start]])*1440)</f>
        <v/>
      </c>
      <c r="F22" s="105" t="str">
        <f>IF(ISBLANK(Term1_Day_1[[#This Row],[Activity]]),"",IF(_xlfn.XLOOKUP(Term1_Day_1[[#This Row],[Activity]],Types_of_Activity[Type of Activity],Types_of_Activity[Classification])=1,Term1_Day_1[[#This Row],[Elapsed]],0))</f>
        <v/>
      </c>
      <c r="G22" s="105" t="str">
        <f>IF(ISBLANK(Term1_Day_1[[#This Row],[Activity]]),"",IF(_xlfn.XLOOKUP(Term1_Day_1[[#This Row],[Activity]],Types_of_Activity[Type of Activity],Types_of_Activity[Classification])=2,Term1_Day_1[[#This Row],[Elapsed]],0))</f>
        <v/>
      </c>
      <c r="I22" s="135"/>
      <c r="J22" s="135"/>
      <c r="K22" s="102"/>
      <c r="L22" s="105" t="str">
        <f>IF(OR(ISBLANK(Term1_Day_2[[#This Row],[Start]]),ISBLANK(Term1_Day_2[[#This Row],[End]])),"",(Term1_Day_2[[#This Row],[End]]-Term1_Day_2[[#This Row],[Start]])*1440)</f>
        <v/>
      </c>
      <c r="M22" s="105" t="str">
        <f>IF(ISBLANK(Term1_Day_2[[#This Row],[Activity]]),"",IF(_xlfn.XLOOKUP(Term1_Day_2[[#This Row],[Activity]],Types_of_Activity[Type of Activity],Types_of_Activity[Classification])=1,Term1_Day_2[[#This Row],[Elapsed]],0))</f>
        <v/>
      </c>
      <c r="N22" s="105" t="str">
        <f>IF(ISBLANK(Term1_Day_2[[#This Row],[Activity]]),"",IF(_xlfn.XLOOKUP(Term1_Day_2[[#This Row],[Activity]],Types_of_Activity[Type of Activity],Types_of_Activity[Classification])=2,Term1_Day_2[[#This Row],[Elapsed]],0))</f>
        <v/>
      </c>
      <c r="P22" s="135"/>
      <c r="Q22" s="135"/>
      <c r="R22" s="102"/>
      <c r="S22" s="105" t="str">
        <f>IF(OR(ISBLANK(Term1_Day_3[[#This Row],[Start]]),ISBLANK(Term1_Day_3[[#This Row],[End]])),"",(Term1_Day_3[[#This Row],[End]]-Term1_Day_3[[#This Row],[Start]])*1440)</f>
        <v/>
      </c>
      <c r="T22" s="105" t="str">
        <f>IF(ISBLANK(Term1_Day_3[[#This Row],[Activity]]),"",IF(_xlfn.XLOOKUP(Term1_Day_3[[#This Row],[Activity]],Types_of_Activity[Type of Activity],Types_of_Activity[Classification])=1,Term1_Day_3[[#This Row],[Elapsed]],0))</f>
        <v/>
      </c>
      <c r="U22" s="105" t="str">
        <f>IF(ISBLANK(Term1_Day_3[[#This Row],[Activity]]),"",IF(_xlfn.XLOOKUP(Term1_Day_3[[#This Row],[Activity]],Types_of_Activity[Type of Activity],Types_of_Activity[Classification])=2,Term1_Day_3[[#This Row],[Elapsed]],0))</f>
        <v/>
      </c>
      <c r="W22" s="135"/>
      <c r="X22" s="135"/>
      <c r="Y22" s="102"/>
      <c r="Z22" s="105" t="str">
        <f>IF(OR(ISBLANK(Term1_Day_4[[#This Row],[Start]]),ISBLANK(Term1_Day_4[[#This Row],[End]])),"",(Term1_Day_4[[#This Row],[End]]-Term1_Day_4[[#This Row],[Start]])*1440)</f>
        <v/>
      </c>
      <c r="AA22" s="105" t="str">
        <f>IF(ISBLANK(Term1_Day_4[[#This Row],[Activity]]),"",IF(_xlfn.XLOOKUP(Term1_Day_4[[#This Row],[Activity]],Types_of_Activity[Type of Activity],Types_of_Activity[Classification])=1,Term1_Day_4[[#This Row],[Elapsed]],0))</f>
        <v/>
      </c>
      <c r="AB22" s="105" t="str">
        <f>IF(ISBLANK(Term1_Day_4[[#This Row],[Activity]]),"",IF(_xlfn.XLOOKUP(Term1_Day_4[[#This Row],[Activity]],Types_of_Activity[Type of Activity],Types_of_Activity[Classification])=2,Term1_Day_4[[#This Row],[Elapsed]],0))</f>
        <v/>
      </c>
      <c r="AD22" s="135"/>
      <c r="AE22" s="135"/>
      <c r="AF22" s="102"/>
      <c r="AG22" s="105" t="str">
        <f>IF(OR(ISBLANK(Term1_Day_5[[#This Row],[Start]]),ISBLANK(Term1_Day_5[[#This Row],[End]])),"",(Term1_Day_5[[#This Row],[End]]-Term1_Day_5[[#This Row],[Start]])*1440)</f>
        <v/>
      </c>
      <c r="AH22" s="105" t="str">
        <f>IF(ISBLANK(Term1_Day_5[[#This Row],[Activity]]),"",IF(_xlfn.XLOOKUP(Term1_Day_5[[#This Row],[Activity]],Types_of_Activity[Type of Activity],Types_of_Activity[Classification])=1,Term1_Day_5[[#This Row],[Elapsed]],0))</f>
        <v/>
      </c>
      <c r="AI22" s="105" t="str">
        <f>IF(ISBLANK(Term1_Day_5[[#This Row],[Activity]]),"",IF(_xlfn.XLOOKUP(Term1_Day_5[[#This Row],[Activity]],Types_of_Activity[Type of Activity],Types_of_Activity[Classification])=2,Term1_Day_5[[#This Row],[Elapsed]],0))</f>
        <v/>
      </c>
      <c r="AJ22" s="106"/>
      <c r="AK22" s="135"/>
      <c r="AL22" s="135"/>
      <c r="AM22" s="102"/>
      <c r="AN22" s="105" t="str">
        <f>IF(OR(ISBLANK(Term1_Day_6[[#This Row],[Start]]),ISBLANK(Term1_Day_6[[#This Row],[End]])),"",(Term1_Day_6[[#This Row],[End]]-Term1_Day_6[[#This Row],[Start]])*1440)</f>
        <v/>
      </c>
      <c r="AO22" s="105" t="str">
        <f>IF(ISBLANK(Term1_Day_6[[#This Row],[Activity]]),"",IF(_xlfn.XLOOKUP(Term1_Day_6[[#This Row],[Activity]],Types_of_Activity[Type of Activity],Types_of_Activity[Classification])=1,Term1_Day_6[[#This Row],[Elapsed]],0))</f>
        <v/>
      </c>
      <c r="AP22" s="105" t="str">
        <f>IF(ISBLANK(Term1_Day_6[[#This Row],[Activity]]),"",IF(_xlfn.XLOOKUP(Term1_Day_6[[#This Row],[Activity]],Types_of_Activity[Type of Activity],Types_of_Activity[Classification])=2,Term1_Day_6[[#This Row],[Elapsed]],0))</f>
        <v/>
      </c>
      <c r="AQ22" s="106"/>
      <c r="AR22" s="135"/>
      <c r="AS22" s="135"/>
      <c r="AT22" s="102"/>
      <c r="AU22" s="105" t="str">
        <f>IF(OR(ISBLANK(Term1_Day_7[[#This Row],[Start]]),ISBLANK(Term1_Day_7[[#This Row],[End]])),"",(Term1_Day_7[[#This Row],[End]]-Term1_Day_7[[#This Row],[Start]])*1440)</f>
        <v/>
      </c>
      <c r="AV22" s="105" t="str">
        <f>IF(ISBLANK(Term1_Day_7[[#This Row],[Activity]]),"",IF(_xlfn.XLOOKUP(Term1_Day_7[[#This Row],[Activity]],Types_of_Activity[Type of Activity],Types_of_Activity[Classification])=1,Term1_Day_7[[#This Row],[Elapsed]],0))</f>
        <v/>
      </c>
      <c r="AW22" s="105" t="str">
        <f>IF(ISBLANK(Term1_Day_7[[#This Row],[Activity]]),"",IF(_xlfn.XLOOKUP(Term1_Day_7[[#This Row],[Activity]],Types_of_Activity[Type of Activity],Types_of_Activity[Classification])=2,Term1_Day_7[[#This Row],[Elapsed]],0))</f>
        <v/>
      </c>
      <c r="AX22" s="106"/>
      <c r="AY22" s="135"/>
      <c r="AZ22" s="135"/>
      <c r="BA22" s="102"/>
      <c r="BB22" s="105" t="str">
        <f>IF(OR(ISBLANK(Term1_Day_8[[#This Row],[Start]]),ISBLANK(Term1_Day_8[[#This Row],[End]])),"",(Term1_Day_8[[#This Row],[End]]-Term1_Day_8[[#This Row],[Start]])*1440)</f>
        <v/>
      </c>
      <c r="BC22" s="105" t="str">
        <f>IF(ISBLANK(Term1_Day_8[[#This Row],[Activity]]),"",IF(_xlfn.XLOOKUP(Term1_Day_8[[#This Row],[Activity]],Types_of_Activity[Type of Activity],Types_of_Activity[Classification])=1,Term1_Day_8[[#This Row],[Elapsed]],0))</f>
        <v/>
      </c>
      <c r="BD22" s="105" t="str">
        <f>IF(ISBLANK(Term1_Day_8[[#This Row],[Activity]]),"",IF(_xlfn.XLOOKUP(Term1_Day_8[[#This Row],[Activity]],Types_of_Activity[Type of Activity],Types_of_Activity[Classification])=2,Term1_Day_8[[#This Row],[Elapsed]],0))</f>
        <v/>
      </c>
      <c r="BE22" s="106"/>
      <c r="BF22" s="135"/>
      <c r="BG22" s="135"/>
      <c r="BH22" s="102"/>
      <c r="BI22" s="105" t="str">
        <f>IF(OR(ISBLANK(Term1_Day_9[[#This Row],[Start]]),ISBLANK(Term1_Day_9[[#This Row],[End]])),"",(Term1_Day_9[[#This Row],[End]]-Term1_Day_9[[#This Row],[Start]])*1440)</f>
        <v/>
      </c>
      <c r="BJ22" s="105" t="str">
        <f>IF(ISBLANK(Term1_Day_9[[#This Row],[Activity]]),"",IF(_xlfn.XLOOKUP(Term1_Day_9[[#This Row],[Activity]],Types_of_Activity[Type of Activity],Types_of_Activity[Classification])=1,Term1_Day_9[[#This Row],[Elapsed]],0))</f>
        <v/>
      </c>
      <c r="BK22" s="105" t="str">
        <f>IF(ISBLANK(Term1_Day_9[[#This Row],[Activity]]),"",IF(_xlfn.XLOOKUP(Term1_Day_9[[#This Row],[Activity]],Types_of_Activity[Type of Activity],Types_of_Activity[Classification])=2,Term1_Day_9[[#This Row],[Elapsed]],0))</f>
        <v/>
      </c>
      <c r="BL22" s="106"/>
      <c r="BM22" s="135"/>
      <c r="BN22" s="135"/>
      <c r="BO22" s="102"/>
      <c r="BP22" s="105" t="str">
        <f>IF(OR(ISBLANK(Term1_Day_10[[#This Row],[Start]]),ISBLANK(Term1_Day_10[[#This Row],[End]])),"",(Term1_Day_10[[#This Row],[End]]-Term1_Day_10[[#This Row],[Start]])*1440)</f>
        <v/>
      </c>
      <c r="BQ22" s="105" t="str">
        <f>IF(ISBLANK(Term1_Day_10[[#This Row],[Activity]]),"",IF(_xlfn.XLOOKUP(Term1_Day_10[[#This Row],[Activity]],Types_of_Activity[Type of Activity],Types_of_Activity[Classification])=1,Term1_Day_10[[#This Row],[Elapsed]],0))</f>
        <v/>
      </c>
      <c r="BR22" s="105" t="str">
        <f>IF(ISBLANK(Term1_Day_10[[#This Row],[Activity]]),"",IF(_xlfn.XLOOKUP(Term1_Day_10[[#This Row],[Activity]],Types_of_Activity[Type of Activity],Types_of_Activity[Classification])=2,Term1_Day_10[[#This Row],[Elapsed]],0))</f>
        <v/>
      </c>
      <c r="BS22" s="106"/>
    </row>
    <row r="23" spans="2:71" x14ac:dyDescent="0.3">
      <c r="B23" s="135"/>
      <c r="C23" s="135"/>
      <c r="D23" s="102"/>
      <c r="E23" s="105" t="str">
        <f>IF(OR(ISBLANK(Term1_Day_1[[#This Row],[Start]]),ISBLANK(Term1_Day_1[[#This Row],[End]])),"",(Term1_Day_1[[#This Row],[End]]-Term1_Day_1[[#This Row],[Start]])*1440)</f>
        <v/>
      </c>
      <c r="F23" s="105" t="str">
        <f>IF(ISBLANK(Term1_Day_1[[#This Row],[Activity]]),"",IF(_xlfn.XLOOKUP(Term1_Day_1[[#This Row],[Activity]],Types_of_Activity[Type of Activity],Types_of_Activity[Classification])=1,Term1_Day_1[[#This Row],[Elapsed]],0))</f>
        <v/>
      </c>
      <c r="G23" s="105" t="str">
        <f>IF(ISBLANK(Term1_Day_1[[#This Row],[Activity]]),"",IF(_xlfn.XLOOKUP(Term1_Day_1[[#This Row],[Activity]],Types_of_Activity[Type of Activity],Types_of_Activity[Classification])=2,Term1_Day_1[[#This Row],[Elapsed]],0))</f>
        <v/>
      </c>
      <c r="I23" s="135"/>
      <c r="J23" s="135"/>
      <c r="K23" s="102"/>
      <c r="L23" s="105" t="str">
        <f>IF(OR(ISBLANK(Term1_Day_2[[#This Row],[Start]]),ISBLANK(Term1_Day_2[[#This Row],[End]])),"",(Term1_Day_2[[#This Row],[End]]-Term1_Day_2[[#This Row],[Start]])*1440)</f>
        <v/>
      </c>
      <c r="M23" s="105" t="str">
        <f>IF(ISBLANK(Term1_Day_2[[#This Row],[Activity]]),"",IF(_xlfn.XLOOKUP(Term1_Day_2[[#This Row],[Activity]],Types_of_Activity[Type of Activity],Types_of_Activity[Classification])=1,Term1_Day_2[[#This Row],[Elapsed]],0))</f>
        <v/>
      </c>
      <c r="N23" s="105" t="str">
        <f>IF(ISBLANK(Term1_Day_2[[#This Row],[Activity]]),"",IF(_xlfn.XLOOKUP(Term1_Day_2[[#This Row],[Activity]],Types_of_Activity[Type of Activity],Types_of_Activity[Classification])=2,Term1_Day_2[[#This Row],[Elapsed]],0))</f>
        <v/>
      </c>
      <c r="P23" s="135"/>
      <c r="Q23" s="135"/>
      <c r="R23" s="102"/>
      <c r="S23" s="105" t="str">
        <f>IF(OR(ISBLANK(Term1_Day_3[[#This Row],[Start]]),ISBLANK(Term1_Day_3[[#This Row],[End]])),"",(Term1_Day_3[[#This Row],[End]]-Term1_Day_3[[#This Row],[Start]])*1440)</f>
        <v/>
      </c>
      <c r="T23" s="105" t="str">
        <f>IF(ISBLANK(Term1_Day_3[[#This Row],[Activity]]),"",IF(_xlfn.XLOOKUP(Term1_Day_3[[#This Row],[Activity]],Types_of_Activity[Type of Activity],Types_of_Activity[Classification])=1,Term1_Day_3[[#This Row],[Elapsed]],0))</f>
        <v/>
      </c>
      <c r="U23" s="105" t="str">
        <f>IF(ISBLANK(Term1_Day_3[[#This Row],[Activity]]),"",IF(_xlfn.XLOOKUP(Term1_Day_3[[#This Row],[Activity]],Types_of_Activity[Type of Activity],Types_of_Activity[Classification])=2,Term1_Day_3[[#This Row],[Elapsed]],0))</f>
        <v/>
      </c>
      <c r="W23" s="135"/>
      <c r="X23" s="135"/>
      <c r="Y23" s="102"/>
      <c r="Z23" s="105" t="str">
        <f>IF(OR(ISBLANK(Term1_Day_4[[#This Row],[Start]]),ISBLANK(Term1_Day_4[[#This Row],[End]])),"",(Term1_Day_4[[#This Row],[End]]-Term1_Day_4[[#This Row],[Start]])*1440)</f>
        <v/>
      </c>
      <c r="AA23" s="105" t="str">
        <f>IF(ISBLANK(Term1_Day_4[[#This Row],[Activity]]),"",IF(_xlfn.XLOOKUP(Term1_Day_4[[#This Row],[Activity]],Types_of_Activity[Type of Activity],Types_of_Activity[Classification])=1,Term1_Day_4[[#This Row],[Elapsed]],0))</f>
        <v/>
      </c>
      <c r="AB23" s="105" t="str">
        <f>IF(ISBLANK(Term1_Day_4[[#This Row],[Activity]]),"",IF(_xlfn.XLOOKUP(Term1_Day_4[[#This Row],[Activity]],Types_of_Activity[Type of Activity],Types_of_Activity[Classification])=2,Term1_Day_4[[#This Row],[Elapsed]],0))</f>
        <v/>
      </c>
      <c r="AD23" s="135"/>
      <c r="AE23" s="135"/>
      <c r="AF23" s="102"/>
      <c r="AG23" s="105" t="str">
        <f>IF(OR(ISBLANK(Term1_Day_5[[#This Row],[Start]]),ISBLANK(Term1_Day_5[[#This Row],[End]])),"",(Term1_Day_5[[#This Row],[End]]-Term1_Day_5[[#This Row],[Start]])*1440)</f>
        <v/>
      </c>
      <c r="AH23" s="105" t="str">
        <f>IF(ISBLANK(Term1_Day_5[[#This Row],[Activity]]),"",IF(_xlfn.XLOOKUP(Term1_Day_5[[#This Row],[Activity]],Types_of_Activity[Type of Activity],Types_of_Activity[Classification])=1,Term1_Day_5[[#This Row],[Elapsed]],0))</f>
        <v/>
      </c>
      <c r="AI23" s="105" t="str">
        <f>IF(ISBLANK(Term1_Day_5[[#This Row],[Activity]]),"",IF(_xlfn.XLOOKUP(Term1_Day_5[[#This Row],[Activity]],Types_of_Activity[Type of Activity],Types_of_Activity[Classification])=2,Term1_Day_5[[#This Row],[Elapsed]],0))</f>
        <v/>
      </c>
      <c r="AJ23" s="106"/>
      <c r="AK23" s="135"/>
      <c r="AL23" s="135"/>
      <c r="AM23" s="102"/>
      <c r="AN23" s="105" t="str">
        <f>IF(OR(ISBLANK(Term1_Day_6[[#This Row],[Start]]),ISBLANK(Term1_Day_6[[#This Row],[End]])),"",(Term1_Day_6[[#This Row],[End]]-Term1_Day_6[[#This Row],[Start]])*1440)</f>
        <v/>
      </c>
      <c r="AO23" s="105" t="str">
        <f>IF(ISBLANK(Term1_Day_6[[#This Row],[Activity]]),"",IF(_xlfn.XLOOKUP(Term1_Day_6[[#This Row],[Activity]],Types_of_Activity[Type of Activity],Types_of_Activity[Classification])=1,Term1_Day_6[[#This Row],[Elapsed]],0))</f>
        <v/>
      </c>
      <c r="AP23" s="105" t="str">
        <f>IF(ISBLANK(Term1_Day_6[[#This Row],[Activity]]),"",IF(_xlfn.XLOOKUP(Term1_Day_6[[#This Row],[Activity]],Types_of_Activity[Type of Activity],Types_of_Activity[Classification])=2,Term1_Day_6[[#This Row],[Elapsed]],0))</f>
        <v/>
      </c>
      <c r="AQ23" s="106"/>
      <c r="AR23" s="135"/>
      <c r="AS23" s="135"/>
      <c r="AT23" s="102"/>
      <c r="AU23" s="105" t="str">
        <f>IF(OR(ISBLANK(Term1_Day_7[[#This Row],[Start]]),ISBLANK(Term1_Day_7[[#This Row],[End]])),"",(Term1_Day_7[[#This Row],[End]]-Term1_Day_7[[#This Row],[Start]])*1440)</f>
        <v/>
      </c>
      <c r="AV23" s="105" t="str">
        <f>IF(ISBLANK(Term1_Day_7[[#This Row],[Activity]]),"",IF(_xlfn.XLOOKUP(Term1_Day_7[[#This Row],[Activity]],Types_of_Activity[Type of Activity],Types_of_Activity[Classification])=1,Term1_Day_7[[#This Row],[Elapsed]],0))</f>
        <v/>
      </c>
      <c r="AW23" s="105" t="str">
        <f>IF(ISBLANK(Term1_Day_7[[#This Row],[Activity]]),"",IF(_xlfn.XLOOKUP(Term1_Day_7[[#This Row],[Activity]],Types_of_Activity[Type of Activity],Types_of_Activity[Classification])=2,Term1_Day_7[[#This Row],[Elapsed]],0))</f>
        <v/>
      </c>
      <c r="AX23" s="106"/>
      <c r="AY23" s="135"/>
      <c r="AZ23" s="135"/>
      <c r="BA23" s="102"/>
      <c r="BB23" s="105" t="str">
        <f>IF(OR(ISBLANK(Term1_Day_8[[#This Row],[Start]]),ISBLANK(Term1_Day_8[[#This Row],[End]])),"",(Term1_Day_8[[#This Row],[End]]-Term1_Day_8[[#This Row],[Start]])*1440)</f>
        <v/>
      </c>
      <c r="BC23" s="105" t="str">
        <f>IF(ISBLANK(Term1_Day_8[[#This Row],[Activity]]),"",IF(_xlfn.XLOOKUP(Term1_Day_8[[#This Row],[Activity]],Types_of_Activity[Type of Activity],Types_of_Activity[Classification])=1,Term1_Day_8[[#This Row],[Elapsed]],0))</f>
        <v/>
      </c>
      <c r="BD23" s="105" t="str">
        <f>IF(ISBLANK(Term1_Day_8[[#This Row],[Activity]]),"",IF(_xlfn.XLOOKUP(Term1_Day_8[[#This Row],[Activity]],Types_of_Activity[Type of Activity],Types_of_Activity[Classification])=2,Term1_Day_8[[#This Row],[Elapsed]],0))</f>
        <v/>
      </c>
      <c r="BE23" s="106"/>
      <c r="BF23" s="135"/>
      <c r="BG23" s="135"/>
      <c r="BH23" s="102"/>
      <c r="BI23" s="105" t="str">
        <f>IF(OR(ISBLANK(Term1_Day_9[[#This Row],[Start]]),ISBLANK(Term1_Day_9[[#This Row],[End]])),"",(Term1_Day_9[[#This Row],[End]]-Term1_Day_9[[#This Row],[Start]])*1440)</f>
        <v/>
      </c>
      <c r="BJ23" s="105" t="str">
        <f>IF(ISBLANK(Term1_Day_9[[#This Row],[Activity]]),"",IF(_xlfn.XLOOKUP(Term1_Day_9[[#This Row],[Activity]],Types_of_Activity[Type of Activity],Types_of_Activity[Classification])=1,Term1_Day_9[[#This Row],[Elapsed]],0))</f>
        <v/>
      </c>
      <c r="BK23" s="105" t="str">
        <f>IF(ISBLANK(Term1_Day_9[[#This Row],[Activity]]),"",IF(_xlfn.XLOOKUP(Term1_Day_9[[#This Row],[Activity]],Types_of_Activity[Type of Activity],Types_of_Activity[Classification])=2,Term1_Day_9[[#This Row],[Elapsed]],0))</f>
        <v/>
      </c>
      <c r="BL23" s="106"/>
      <c r="BM23" s="135"/>
      <c r="BN23" s="135"/>
      <c r="BO23" s="102"/>
      <c r="BP23" s="105" t="str">
        <f>IF(OR(ISBLANK(Term1_Day_10[[#This Row],[Start]]),ISBLANK(Term1_Day_10[[#This Row],[End]])),"",(Term1_Day_10[[#This Row],[End]]-Term1_Day_10[[#This Row],[Start]])*1440)</f>
        <v/>
      </c>
      <c r="BQ23" s="105" t="str">
        <f>IF(ISBLANK(Term1_Day_10[[#This Row],[Activity]]),"",IF(_xlfn.XLOOKUP(Term1_Day_10[[#This Row],[Activity]],Types_of_Activity[Type of Activity],Types_of_Activity[Classification])=1,Term1_Day_10[[#This Row],[Elapsed]],0))</f>
        <v/>
      </c>
      <c r="BR23" s="105" t="str">
        <f>IF(ISBLANK(Term1_Day_10[[#This Row],[Activity]]),"",IF(_xlfn.XLOOKUP(Term1_Day_10[[#This Row],[Activity]],Types_of_Activity[Type of Activity],Types_of_Activity[Classification])=2,Term1_Day_10[[#This Row],[Elapsed]],0))</f>
        <v/>
      </c>
      <c r="BS23" s="106"/>
    </row>
    <row r="24" spans="2:71" x14ac:dyDescent="0.3">
      <c r="B24" s="135"/>
      <c r="C24" s="135"/>
      <c r="D24" s="102"/>
      <c r="E24" s="105" t="str">
        <f>IF(OR(ISBLANK(Term1_Day_1[[#This Row],[Start]]),ISBLANK(Term1_Day_1[[#This Row],[End]])),"",(Term1_Day_1[[#This Row],[End]]-Term1_Day_1[[#This Row],[Start]])*1440)</f>
        <v/>
      </c>
      <c r="F24" s="105" t="str">
        <f>IF(ISBLANK(Term1_Day_1[[#This Row],[Activity]]),"",IF(_xlfn.XLOOKUP(Term1_Day_1[[#This Row],[Activity]],Types_of_Activity[Type of Activity],Types_of_Activity[Classification])=1,Term1_Day_1[[#This Row],[Elapsed]],0))</f>
        <v/>
      </c>
      <c r="G24" s="105" t="str">
        <f>IF(ISBLANK(Term1_Day_1[[#This Row],[Activity]]),"",IF(_xlfn.XLOOKUP(Term1_Day_1[[#This Row],[Activity]],Types_of_Activity[Type of Activity],Types_of_Activity[Classification])=2,Term1_Day_1[[#This Row],[Elapsed]],0))</f>
        <v/>
      </c>
      <c r="I24" s="135"/>
      <c r="J24" s="135"/>
      <c r="K24" s="102"/>
      <c r="L24" s="105" t="str">
        <f>IF(OR(ISBLANK(Term1_Day_2[[#This Row],[Start]]),ISBLANK(Term1_Day_2[[#This Row],[End]])),"",(Term1_Day_2[[#This Row],[End]]-Term1_Day_2[[#This Row],[Start]])*1440)</f>
        <v/>
      </c>
      <c r="M24" s="105" t="str">
        <f>IF(ISBLANK(Term1_Day_2[[#This Row],[Activity]]),"",IF(_xlfn.XLOOKUP(Term1_Day_2[[#This Row],[Activity]],Types_of_Activity[Type of Activity],Types_of_Activity[Classification])=1,Term1_Day_2[[#This Row],[Elapsed]],0))</f>
        <v/>
      </c>
      <c r="N24" s="105" t="str">
        <f>IF(ISBLANK(Term1_Day_2[[#This Row],[Activity]]),"",IF(_xlfn.XLOOKUP(Term1_Day_2[[#This Row],[Activity]],Types_of_Activity[Type of Activity],Types_of_Activity[Classification])=2,Term1_Day_2[[#This Row],[Elapsed]],0))</f>
        <v/>
      </c>
      <c r="P24" s="135"/>
      <c r="Q24" s="135"/>
      <c r="R24" s="102"/>
      <c r="S24" s="105" t="str">
        <f>IF(OR(ISBLANK(Term1_Day_3[[#This Row],[Start]]),ISBLANK(Term1_Day_3[[#This Row],[End]])),"",(Term1_Day_3[[#This Row],[End]]-Term1_Day_3[[#This Row],[Start]])*1440)</f>
        <v/>
      </c>
      <c r="T24" s="105" t="str">
        <f>IF(ISBLANK(Term1_Day_3[[#This Row],[Activity]]),"",IF(_xlfn.XLOOKUP(Term1_Day_3[[#This Row],[Activity]],Types_of_Activity[Type of Activity],Types_of_Activity[Classification])=1,Term1_Day_3[[#This Row],[Elapsed]],0))</f>
        <v/>
      </c>
      <c r="U24" s="105" t="str">
        <f>IF(ISBLANK(Term1_Day_3[[#This Row],[Activity]]),"",IF(_xlfn.XLOOKUP(Term1_Day_3[[#This Row],[Activity]],Types_of_Activity[Type of Activity],Types_of_Activity[Classification])=2,Term1_Day_3[[#This Row],[Elapsed]],0))</f>
        <v/>
      </c>
      <c r="W24" s="135"/>
      <c r="X24" s="135"/>
      <c r="Y24" s="102"/>
      <c r="Z24" s="105" t="str">
        <f>IF(OR(ISBLANK(Term1_Day_4[[#This Row],[Start]]),ISBLANK(Term1_Day_4[[#This Row],[End]])),"",(Term1_Day_4[[#This Row],[End]]-Term1_Day_4[[#This Row],[Start]])*1440)</f>
        <v/>
      </c>
      <c r="AA24" s="105" t="str">
        <f>IF(ISBLANK(Term1_Day_4[[#This Row],[Activity]]),"",IF(_xlfn.XLOOKUP(Term1_Day_4[[#This Row],[Activity]],Types_of_Activity[Type of Activity],Types_of_Activity[Classification])=1,Term1_Day_4[[#This Row],[Elapsed]],0))</f>
        <v/>
      </c>
      <c r="AB24" s="105" t="str">
        <f>IF(ISBLANK(Term1_Day_4[[#This Row],[Activity]]),"",IF(_xlfn.XLOOKUP(Term1_Day_4[[#This Row],[Activity]],Types_of_Activity[Type of Activity],Types_of_Activity[Classification])=2,Term1_Day_4[[#This Row],[Elapsed]],0))</f>
        <v/>
      </c>
      <c r="AD24" s="135"/>
      <c r="AE24" s="135"/>
      <c r="AF24" s="102"/>
      <c r="AG24" s="105" t="str">
        <f>IF(OR(ISBLANK(Term1_Day_5[[#This Row],[Start]]),ISBLANK(Term1_Day_5[[#This Row],[End]])),"",(Term1_Day_5[[#This Row],[End]]-Term1_Day_5[[#This Row],[Start]])*1440)</f>
        <v/>
      </c>
      <c r="AH24" s="105" t="str">
        <f>IF(ISBLANK(Term1_Day_5[[#This Row],[Activity]]),"",IF(_xlfn.XLOOKUP(Term1_Day_5[[#This Row],[Activity]],Types_of_Activity[Type of Activity],Types_of_Activity[Classification])=1,Term1_Day_5[[#This Row],[Elapsed]],0))</f>
        <v/>
      </c>
      <c r="AI24" s="105" t="str">
        <f>IF(ISBLANK(Term1_Day_5[[#This Row],[Activity]]),"",IF(_xlfn.XLOOKUP(Term1_Day_5[[#This Row],[Activity]],Types_of_Activity[Type of Activity],Types_of_Activity[Classification])=2,Term1_Day_5[[#This Row],[Elapsed]],0))</f>
        <v/>
      </c>
      <c r="AJ24" s="106"/>
      <c r="AK24" s="135"/>
      <c r="AL24" s="135"/>
      <c r="AM24" s="102"/>
      <c r="AN24" s="105" t="str">
        <f>IF(OR(ISBLANK(Term1_Day_6[[#This Row],[Start]]),ISBLANK(Term1_Day_6[[#This Row],[End]])),"",(Term1_Day_6[[#This Row],[End]]-Term1_Day_6[[#This Row],[Start]])*1440)</f>
        <v/>
      </c>
      <c r="AO24" s="105" t="str">
        <f>IF(ISBLANK(Term1_Day_6[[#This Row],[Activity]]),"",IF(_xlfn.XLOOKUP(Term1_Day_6[[#This Row],[Activity]],Types_of_Activity[Type of Activity],Types_of_Activity[Classification])=1,Term1_Day_6[[#This Row],[Elapsed]],0))</f>
        <v/>
      </c>
      <c r="AP24" s="105" t="str">
        <f>IF(ISBLANK(Term1_Day_6[[#This Row],[Activity]]),"",IF(_xlfn.XLOOKUP(Term1_Day_6[[#This Row],[Activity]],Types_of_Activity[Type of Activity],Types_of_Activity[Classification])=2,Term1_Day_6[[#This Row],[Elapsed]],0))</f>
        <v/>
      </c>
      <c r="AQ24" s="106"/>
      <c r="AR24" s="135"/>
      <c r="AS24" s="135"/>
      <c r="AT24" s="102"/>
      <c r="AU24" s="105" t="str">
        <f>IF(OR(ISBLANK(Term1_Day_7[[#This Row],[Start]]),ISBLANK(Term1_Day_7[[#This Row],[End]])),"",(Term1_Day_7[[#This Row],[End]]-Term1_Day_7[[#This Row],[Start]])*1440)</f>
        <v/>
      </c>
      <c r="AV24" s="105" t="str">
        <f>IF(ISBLANK(Term1_Day_7[[#This Row],[Activity]]),"",IF(_xlfn.XLOOKUP(Term1_Day_7[[#This Row],[Activity]],Types_of_Activity[Type of Activity],Types_of_Activity[Classification])=1,Term1_Day_7[[#This Row],[Elapsed]],0))</f>
        <v/>
      </c>
      <c r="AW24" s="105" t="str">
        <f>IF(ISBLANK(Term1_Day_7[[#This Row],[Activity]]),"",IF(_xlfn.XLOOKUP(Term1_Day_7[[#This Row],[Activity]],Types_of_Activity[Type of Activity],Types_of_Activity[Classification])=2,Term1_Day_7[[#This Row],[Elapsed]],0))</f>
        <v/>
      </c>
      <c r="AX24" s="106"/>
      <c r="AY24" s="135"/>
      <c r="AZ24" s="135"/>
      <c r="BA24" s="102"/>
      <c r="BB24" s="105" t="str">
        <f>IF(OR(ISBLANK(Term1_Day_8[[#This Row],[Start]]),ISBLANK(Term1_Day_8[[#This Row],[End]])),"",(Term1_Day_8[[#This Row],[End]]-Term1_Day_8[[#This Row],[Start]])*1440)</f>
        <v/>
      </c>
      <c r="BC24" s="105" t="str">
        <f>IF(ISBLANK(Term1_Day_8[[#This Row],[Activity]]),"",IF(_xlfn.XLOOKUP(Term1_Day_8[[#This Row],[Activity]],Types_of_Activity[Type of Activity],Types_of_Activity[Classification])=1,Term1_Day_8[[#This Row],[Elapsed]],0))</f>
        <v/>
      </c>
      <c r="BD24" s="105" t="str">
        <f>IF(ISBLANK(Term1_Day_8[[#This Row],[Activity]]),"",IF(_xlfn.XLOOKUP(Term1_Day_8[[#This Row],[Activity]],Types_of_Activity[Type of Activity],Types_of_Activity[Classification])=2,Term1_Day_8[[#This Row],[Elapsed]],0))</f>
        <v/>
      </c>
      <c r="BE24" s="106"/>
      <c r="BF24" s="135"/>
      <c r="BG24" s="135"/>
      <c r="BH24" s="102"/>
      <c r="BI24" s="105" t="str">
        <f>IF(OR(ISBLANK(Term1_Day_9[[#This Row],[Start]]),ISBLANK(Term1_Day_9[[#This Row],[End]])),"",(Term1_Day_9[[#This Row],[End]]-Term1_Day_9[[#This Row],[Start]])*1440)</f>
        <v/>
      </c>
      <c r="BJ24" s="105" t="str">
        <f>IF(ISBLANK(Term1_Day_9[[#This Row],[Activity]]),"",IF(_xlfn.XLOOKUP(Term1_Day_9[[#This Row],[Activity]],Types_of_Activity[Type of Activity],Types_of_Activity[Classification])=1,Term1_Day_9[[#This Row],[Elapsed]],0))</f>
        <v/>
      </c>
      <c r="BK24" s="105" t="str">
        <f>IF(ISBLANK(Term1_Day_9[[#This Row],[Activity]]),"",IF(_xlfn.XLOOKUP(Term1_Day_9[[#This Row],[Activity]],Types_of_Activity[Type of Activity],Types_of_Activity[Classification])=2,Term1_Day_9[[#This Row],[Elapsed]],0))</f>
        <v/>
      </c>
      <c r="BL24" s="106"/>
      <c r="BM24" s="135"/>
      <c r="BN24" s="135"/>
      <c r="BO24" s="102"/>
      <c r="BP24" s="105" t="str">
        <f>IF(OR(ISBLANK(Term1_Day_10[[#This Row],[Start]]),ISBLANK(Term1_Day_10[[#This Row],[End]])),"",(Term1_Day_10[[#This Row],[End]]-Term1_Day_10[[#This Row],[Start]])*1440)</f>
        <v/>
      </c>
      <c r="BQ24" s="105" t="str">
        <f>IF(ISBLANK(Term1_Day_10[[#This Row],[Activity]]),"",IF(_xlfn.XLOOKUP(Term1_Day_10[[#This Row],[Activity]],Types_of_Activity[Type of Activity],Types_of_Activity[Classification])=1,Term1_Day_10[[#This Row],[Elapsed]],0))</f>
        <v/>
      </c>
      <c r="BR24" s="105" t="str">
        <f>IF(ISBLANK(Term1_Day_10[[#This Row],[Activity]]),"",IF(_xlfn.XLOOKUP(Term1_Day_10[[#This Row],[Activity]],Types_of_Activity[Type of Activity],Types_of_Activity[Classification])=2,Term1_Day_10[[#This Row],[Elapsed]],0))</f>
        <v/>
      </c>
      <c r="BS24" s="106"/>
    </row>
    <row r="25" spans="2:71" x14ac:dyDescent="0.3">
      <c r="B25" s="135"/>
      <c r="C25" s="135"/>
      <c r="D25" s="102"/>
      <c r="E25" s="105" t="str">
        <f>IF(OR(ISBLANK(Term1_Day_1[[#This Row],[Start]]),ISBLANK(Term1_Day_1[[#This Row],[End]])),"",(Term1_Day_1[[#This Row],[End]]-Term1_Day_1[[#This Row],[Start]])*1440)</f>
        <v/>
      </c>
      <c r="F25" s="105" t="str">
        <f>IF(ISBLANK(Term1_Day_1[[#This Row],[Activity]]),"",IF(_xlfn.XLOOKUP(Term1_Day_1[[#This Row],[Activity]],Types_of_Activity[Type of Activity],Types_of_Activity[Classification])=1,Term1_Day_1[[#This Row],[Elapsed]],0))</f>
        <v/>
      </c>
      <c r="G25" s="105" t="str">
        <f>IF(ISBLANK(Term1_Day_1[[#This Row],[Activity]]),"",IF(_xlfn.XLOOKUP(Term1_Day_1[[#This Row],[Activity]],Types_of_Activity[Type of Activity],Types_of_Activity[Classification])=2,Term1_Day_1[[#This Row],[Elapsed]],0))</f>
        <v/>
      </c>
      <c r="I25" s="135"/>
      <c r="J25" s="135"/>
      <c r="K25" s="102"/>
      <c r="L25" s="105" t="str">
        <f>IF(OR(ISBLANK(Term1_Day_2[[#This Row],[Start]]),ISBLANK(Term1_Day_2[[#This Row],[End]])),"",(Term1_Day_2[[#This Row],[End]]-Term1_Day_2[[#This Row],[Start]])*1440)</f>
        <v/>
      </c>
      <c r="M25" s="105" t="str">
        <f>IF(ISBLANK(Term1_Day_2[[#This Row],[Activity]]),"",IF(_xlfn.XLOOKUP(Term1_Day_2[[#This Row],[Activity]],Types_of_Activity[Type of Activity],Types_of_Activity[Classification])=1,Term1_Day_2[[#This Row],[Elapsed]],0))</f>
        <v/>
      </c>
      <c r="N25" s="105" t="str">
        <f>IF(ISBLANK(Term1_Day_2[[#This Row],[Activity]]),"",IF(_xlfn.XLOOKUP(Term1_Day_2[[#This Row],[Activity]],Types_of_Activity[Type of Activity],Types_of_Activity[Classification])=2,Term1_Day_2[[#This Row],[Elapsed]],0))</f>
        <v/>
      </c>
      <c r="P25" s="135"/>
      <c r="Q25" s="135"/>
      <c r="R25" s="102"/>
      <c r="S25" s="105" t="str">
        <f>IF(OR(ISBLANK(Term1_Day_3[[#This Row],[Start]]),ISBLANK(Term1_Day_3[[#This Row],[End]])),"",(Term1_Day_3[[#This Row],[End]]-Term1_Day_3[[#This Row],[Start]])*1440)</f>
        <v/>
      </c>
      <c r="T25" s="105" t="str">
        <f>IF(ISBLANK(Term1_Day_3[[#This Row],[Activity]]),"",IF(_xlfn.XLOOKUP(Term1_Day_3[[#This Row],[Activity]],Types_of_Activity[Type of Activity],Types_of_Activity[Classification])=1,Term1_Day_3[[#This Row],[Elapsed]],0))</f>
        <v/>
      </c>
      <c r="U25" s="105" t="str">
        <f>IF(ISBLANK(Term1_Day_3[[#This Row],[Activity]]),"",IF(_xlfn.XLOOKUP(Term1_Day_3[[#This Row],[Activity]],Types_of_Activity[Type of Activity],Types_of_Activity[Classification])=2,Term1_Day_3[[#This Row],[Elapsed]],0))</f>
        <v/>
      </c>
      <c r="W25" s="135"/>
      <c r="X25" s="135"/>
      <c r="Y25" s="102"/>
      <c r="Z25" s="105" t="str">
        <f>IF(OR(ISBLANK(Term1_Day_4[[#This Row],[Start]]),ISBLANK(Term1_Day_4[[#This Row],[End]])),"",(Term1_Day_4[[#This Row],[End]]-Term1_Day_4[[#This Row],[Start]])*1440)</f>
        <v/>
      </c>
      <c r="AA25" s="105" t="str">
        <f>IF(ISBLANK(Term1_Day_4[[#This Row],[Activity]]),"",IF(_xlfn.XLOOKUP(Term1_Day_4[[#This Row],[Activity]],Types_of_Activity[Type of Activity],Types_of_Activity[Classification])=1,Term1_Day_4[[#This Row],[Elapsed]],0))</f>
        <v/>
      </c>
      <c r="AB25" s="105" t="str">
        <f>IF(ISBLANK(Term1_Day_4[[#This Row],[Activity]]),"",IF(_xlfn.XLOOKUP(Term1_Day_4[[#This Row],[Activity]],Types_of_Activity[Type of Activity],Types_of_Activity[Classification])=2,Term1_Day_4[[#This Row],[Elapsed]],0))</f>
        <v/>
      </c>
      <c r="AD25" s="135"/>
      <c r="AE25" s="135"/>
      <c r="AF25" s="102"/>
      <c r="AG25" s="105" t="str">
        <f>IF(OR(ISBLANK(Term1_Day_5[[#This Row],[Start]]),ISBLANK(Term1_Day_5[[#This Row],[End]])),"",(Term1_Day_5[[#This Row],[End]]-Term1_Day_5[[#This Row],[Start]])*1440)</f>
        <v/>
      </c>
      <c r="AH25" s="105" t="str">
        <f>IF(ISBLANK(Term1_Day_5[[#This Row],[Activity]]),"",IF(_xlfn.XLOOKUP(Term1_Day_5[[#This Row],[Activity]],Types_of_Activity[Type of Activity],Types_of_Activity[Classification])=1,Term1_Day_5[[#This Row],[Elapsed]],0))</f>
        <v/>
      </c>
      <c r="AI25" s="105" t="str">
        <f>IF(ISBLANK(Term1_Day_5[[#This Row],[Activity]]),"",IF(_xlfn.XLOOKUP(Term1_Day_5[[#This Row],[Activity]],Types_of_Activity[Type of Activity],Types_of_Activity[Classification])=2,Term1_Day_5[[#This Row],[Elapsed]],0))</f>
        <v/>
      </c>
      <c r="AJ25" s="106"/>
      <c r="AK25" s="135"/>
      <c r="AL25" s="135"/>
      <c r="AM25" s="102"/>
      <c r="AN25" s="105" t="str">
        <f>IF(OR(ISBLANK(Term1_Day_6[[#This Row],[Start]]),ISBLANK(Term1_Day_6[[#This Row],[End]])),"",(Term1_Day_6[[#This Row],[End]]-Term1_Day_6[[#This Row],[Start]])*1440)</f>
        <v/>
      </c>
      <c r="AO25" s="105" t="str">
        <f>IF(ISBLANK(Term1_Day_6[[#This Row],[Activity]]),"",IF(_xlfn.XLOOKUP(Term1_Day_6[[#This Row],[Activity]],Types_of_Activity[Type of Activity],Types_of_Activity[Classification])=1,Term1_Day_6[[#This Row],[Elapsed]],0))</f>
        <v/>
      </c>
      <c r="AP25" s="105" t="str">
        <f>IF(ISBLANK(Term1_Day_6[[#This Row],[Activity]]),"",IF(_xlfn.XLOOKUP(Term1_Day_6[[#This Row],[Activity]],Types_of_Activity[Type of Activity],Types_of_Activity[Classification])=2,Term1_Day_6[[#This Row],[Elapsed]],0))</f>
        <v/>
      </c>
      <c r="AQ25" s="106"/>
      <c r="AR25" s="135"/>
      <c r="AS25" s="135"/>
      <c r="AT25" s="102"/>
      <c r="AU25" s="105" t="str">
        <f>IF(OR(ISBLANK(Term1_Day_7[[#This Row],[Start]]),ISBLANK(Term1_Day_7[[#This Row],[End]])),"",(Term1_Day_7[[#This Row],[End]]-Term1_Day_7[[#This Row],[Start]])*1440)</f>
        <v/>
      </c>
      <c r="AV25" s="105" t="str">
        <f>IF(ISBLANK(Term1_Day_7[[#This Row],[Activity]]),"",IF(_xlfn.XLOOKUP(Term1_Day_7[[#This Row],[Activity]],Types_of_Activity[Type of Activity],Types_of_Activity[Classification])=1,Term1_Day_7[[#This Row],[Elapsed]],0))</f>
        <v/>
      </c>
      <c r="AW25" s="105" t="str">
        <f>IF(ISBLANK(Term1_Day_7[[#This Row],[Activity]]),"",IF(_xlfn.XLOOKUP(Term1_Day_7[[#This Row],[Activity]],Types_of_Activity[Type of Activity],Types_of_Activity[Classification])=2,Term1_Day_7[[#This Row],[Elapsed]],0))</f>
        <v/>
      </c>
      <c r="AX25" s="106"/>
      <c r="AY25" s="135"/>
      <c r="AZ25" s="135"/>
      <c r="BA25" s="102"/>
      <c r="BB25" s="105" t="str">
        <f>IF(OR(ISBLANK(Term1_Day_8[[#This Row],[Start]]),ISBLANK(Term1_Day_8[[#This Row],[End]])),"",(Term1_Day_8[[#This Row],[End]]-Term1_Day_8[[#This Row],[Start]])*1440)</f>
        <v/>
      </c>
      <c r="BC25" s="105" t="str">
        <f>IF(ISBLANK(Term1_Day_8[[#This Row],[Activity]]),"",IF(_xlfn.XLOOKUP(Term1_Day_8[[#This Row],[Activity]],Types_of_Activity[Type of Activity],Types_of_Activity[Classification])=1,Term1_Day_8[[#This Row],[Elapsed]],0))</f>
        <v/>
      </c>
      <c r="BD25" s="105" t="str">
        <f>IF(ISBLANK(Term1_Day_8[[#This Row],[Activity]]),"",IF(_xlfn.XLOOKUP(Term1_Day_8[[#This Row],[Activity]],Types_of_Activity[Type of Activity],Types_of_Activity[Classification])=2,Term1_Day_8[[#This Row],[Elapsed]],0))</f>
        <v/>
      </c>
      <c r="BE25" s="106"/>
      <c r="BF25" s="135"/>
      <c r="BG25" s="135"/>
      <c r="BH25" s="102"/>
      <c r="BI25" s="105" t="str">
        <f>IF(OR(ISBLANK(Term1_Day_9[[#This Row],[Start]]),ISBLANK(Term1_Day_9[[#This Row],[End]])),"",(Term1_Day_9[[#This Row],[End]]-Term1_Day_9[[#This Row],[Start]])*1440)</f>
        <v/>
      </c>
      <c r="BJ25" s="105" t="str">
        <f>IF(ISBLANK(Term1_Day_9[[#This Row],[Activity]]),"",IF(_xlfn.XLOOKUP(Term1_Day_9[[#This Row],[Activity]],Types_of_Activity[Type of Activity],Types_of_Activity[Classification])=1,Term1_Day_9[[#This Row],[Elapsed]],0))</f>
        <v/>
      </c>
      <c r="BK25" s="105" t="str">
        <f>IF(ISBLANK(Term1_Day_9[[#This Row],[Activity]]),"",IF(_xlfn.XLOOKUP(Term1_Day_9[[#This Row],[Activity]],Types_of_Activity[Type of Activity],Types_of_Activity[Classification])=2,Term1_Day_9[[#This Row],[Elapsed]],0))</f>
        <v/>
      </c>
      <c r="BL25" s="106"/>
      <c r="BM25" s="135"/>
      <c r="BN25" s="135"/>
      <c r="BO25" s="102"/>
      <c r="BP25" s="105" t="str">
        <f>IF(OR(ISBLANK(Term1_Day_10[[#This Row],[Start]]),ISBLANK(Term1_Day_10[[#This Row],[End]])),"",(Term1_Day_10[[#This Row],[End]]-Term1_Day_10[[#This Row],[Start]])*1440)</f>
        <v/>
      </c>
      <c r="BQ25" s="105" t="str">
        <f>IF(ISBLANK(Term1_Day_10[[#This Row],[Activity]]),"",IF(_xlfn.XLOOKUP(Term1_Day_10[[#This Row],[Activity]],Types_of_Activity[Type of Activity],Types_of_Activity[Classification])=1,Term1_Day_10[[#This Row],[Elapsed]],0))</f>
        <v/>
      </c>
      <c r="BR25" s="105" t="str">
        <f>IF(ISBLANK(Term1_Day_10[[#This Row],[Activity]]),"",IF(_xlfn.XLOOKUP(Term1_Day_10[[#This Row],[Activity]],Types_of_Activity[Type of Activity],Types_of_Activity[Classification])=2,Term1_Day_10[[#This Row],[Elapsed]],0))</f>
        <v/>
      </c>
      <c r="BS25" s="106"/>
    </row>
    <row r="26" spans="2:71" x14ac:dyDescent="0.3">
      <c r="B26" s="135"/>
      <c r="C26" s="135"/>
      <c r="D26" s="102"/>
      <c r="E26" s="105" t="str">
        <f>IF(OR(ISBLANK(Term1_Day_1[[#This Row],[Start]]),ISBLANK(Term1_Day_1[[#This Row],[End]])),"",(Term1_Day_1[[#This Row],[End]]-Term1_Day_1[[#This Row],[Start]])*1440)</f>
        <v/>
      </c>
      <c r="F26" s="105" t="str">
        <f>IF(ISBLANK(Term1_Day_1[[#This Row],[Activity]]),"",IF(_xlfn.XLOOKUP(Term1_Day_1[[#This Row],[Activity]],Types_of_Activity[Type of Activity],Types_of_Activity[Classification])=1,Term1_Day_1[[#This Row],[Elapsed]],0))</f>
        <v/>
      </c>
      <c r="G26" s="105" t="str">
        <f>IF(ISBLANK(Term1_Day_1[[#This Row],[Activity]]),"",IF(_xlfn.XLOOKUP(Term1_Day_1[[#This Row],[Activity]],Types_of_Activity[Type of Activity],Types_of_Activity[Classification])=2,Term1_Day_1[[#This Row],[Elapsed]],0))</f>
        <v/>
      </c>
      <c r="I26" s="135"/>
      <c r="J26" s="135"/>
      <c r="K26" s="102"/>
      <c r="L26" s="105" t="str">
        <f>IF(OR(ISBLANK(Term1_Day_2[[#This Row],[Start]]),ISBLANK(Term1_Day_2[[#This Row],[End]])),"",(Term1_Day_2[[#This Row],[End]]-Term1_Day_2[[#This Row],[Start]])*1440)</f>
        <v/>
      </c>
      <c r="M26" s="105" t="str">
        <f>IF(ISBLANK(Term1_Day_2[[#This Row],[Activity]]),"",IF(_xlfn.XLOOKUP(Term1_Day_2[[#This Row],[Activity]],Types_of_Activity[Type of Activity],Types_of_Activity[Classification])=1,Term1_Day_2[[#This Row],[Elapsed]],0))</f>
        <v/>
      </c>
      <c r="N26" s="105" t="str">
        <f>IF(ISBLANK(Term1_Day_2[[#This Row],[Activity]]),"",IF(_xlfn.XLOOKUP(Term1_Day_2[[#This Row],[Activity]],Types_of_Activity[Type of Activity],Types_of_Activity[Classification])=2,Term1_Day_2[[#This Row],[Elapsed]],0))</f>
        <v/>
      </c>
      <c r="P26" s="135"/>
      <c r="Q26" s="135"/>
      <c r="R26" s="102"/>
      <c r="S26" s="105" t="str">
        <f>IF(OR(ISBLANK(Term1_Day_3[[#This Row],[Start]]),ISBLANK(Term1_Day_3[[#This Row],[End]])),"",(Term1_Day_3[[#This Row],[End]]-Term1_Day_3[[#This Row],[Start]])*1440)</f>
        <v/>
      </c>
      <c r="T26" s="105" t="str">
        <f>IF(ISBLANK(Term1_Day_3[[#This Row],[Activity]]),"",IF(_xlfn.XLOOKUP(Term1_Day_3[[#This Row],[Activity]],Types_of_Activity[Type of Activity],Types_of_Activity[Classification])=1,Term1_Day_3[[#This Row],[Elapsed]],0))</f>
        <v/>
      </c>
      <c r="U26" s="105" t="str">
        <f>IF(ISBLANK(Term1_Day_3[[#This Row],[Activity]]),"",IF(_xlfn.XLOOKUP(Term1_Day_3[[#This Row],[Activity]],Types_of_Activity[Type of Activity],Types_of_Activity[Classification])=2,Term1_Day_3[[#This Row],[Elapsed]],0))</f>
        <v/>
      </c>
      <c r="W26" s="135"/>
      <c r="X26" s="135"/>
      <c r="Y26" s="102"/>
      <c r="Z26" s="105" t="str">
        <f>IF(OR(ISBLANK(Term1_Day_4[[#This Row],[Start]]),ISBLANK(Term1_Day_4[[#This Row],[End]])),"",(Term1_Day_4[[#This Row],[End]]-Term1_Day_4[[#This Row],[Start]])*1440)</f>
        <v/>
      </c>
      <c r="AA26" s="105" t="str">
        <f>IF(ISBLANK(Term1_Day_4[[#This Row],[Activity]]),"",IF(_xlfn.XLOOKUP(Term1_Day_4[[#This Row],[Activity]],Types_of_Activity[Type of Activity],Types_of_Activity[Classification])=1,Term1_Day_4[[#This Row],[Elapsed]],0))</f>
        <v/>
      </c>
      <c r="AB26" s="105" t="str">
        <f>IF(ISBLANK(Term1_Day_4[[#This Row],[Activity]]),"",IF(_xlfn.XLOOKUP(Term1_Day_4[[#This Row],[Activity]],Types_of_Activity[Type of Activity],Types_of_Activity[Classification])=2,Term1_Day_4[[#This Row],[Elapsed]],0))</f>
        <v/>
      </c>
      <c r="AD26" s="135"/>
      <c r="AE26" s="135"/>
      <c r="AF26" s="102"/>
      <c r="AG26" s="105" t="str">
        <f>IF(OR(ISBLANK(Term1_Day_5[[#This Row],[Start]]),ISBLANK(Term1_Day_5[[#This Row],[End]])),"",(Term1_Day_5[[#This Row],[End]]-Term1_Day_5[[#This Row],[Start]])*1440)</f>
        <v/>
      </c>
      <c r="AH26" s="105" t="str">
        <f>IF(ISBLANK(Term1_Day_5[[#This Row],[Activity]]),"",IF(_xlfn.XLOOKUP(Term1_Day_5[[#This Row],[Activity]],Types_of_Activity[Type of Activity],Types_of_Activity[Classification])=1,Term1_Day_5[[#This Row],[Elapsed]],0))</f>
        <v/>
      </c>
      <c r="AI26" s="105" t="str">
        <f>IF(ISBLANK(Term1_Day_5[[#This Row],[Activity]]),"",IF(_xlfn.XLOOKUP(Term1_Day_5[[#This Row],[Activity]],Types_of_Activity[Type of Activity],Types_of_Activity[Classification])=2,Term1_Day_5[[#This Row],[Elapsed]],0))</f>
        <v/>
      </c>
      <c r="AJ26" s="106"/>
      <c r="AK26" s="135"/>
      <c r="AL26" s="135"/>
      <c r="AM26" s="102"/>
      <c r="AN26" s="105" t="str">
        <f>IF(OR(ISBLANK(Term1_Day_6[[#This Row],[Start]]),ISBLANK(Term1_Day_6[[#This Row],[End]])),"",(Term1_Day_6[[#This Row],[End]]-Term1_Day_6[[#This Row],[Start]])*1440)</f>
        <v/>
      </c>
      <c r="AO26" s="105" t="str">
        <f>IF(ISBLANK(Term1_Day_6[[#This Row],[Activity]]),"",IF(_xlfn.XLOOKUP(Term1_Day_6[[#This Row],[Activity]],Types_of_Activity[Type of Activity],Types_of_Activity[Classification])=1,Term1_Day_6[[#This Row],[Elapsed]],0))</f>
        <v/>
      </c>
      <c r="AP26" s="105" t="str">
        <f>IF(ISBLANK(Term1_Day_6[[#This Row],[Activity]]),"",IF(_xlfn.XLOOKUP(Term1_Day_6[[#This Row],[Activity]],Types_of_Activity[Type of Activity],Types_of_Activity[Classification])=2,Term1_Day_6[[#This Row],[Elapsed]],0))</f>
        <v/>
      </c>
      <c r="AQ26" s="106"/>
      <c r="AR26" s="135"/>
      <c r="AS26" s="135"/>
      <c r="AT26" s="102"/>
      <c r="AU26" s="105" t="str">
        <f>IF(OR(ISBLANK(Term1_Day_7[[#This Row],[Start]]),ISBLANK(Term1_Day_7[[#This Row],[End]])),"",(Term1_Day_7[[#This Row],[End]]-Term1_Day_7[[#This Row],[Start]])*1440)</f>
        <v/>
      </c>
      <c r="AV26" s="105" t="str">
        <f>IF(ISBLANK(Term1_Day_7[[#This Row],[Activity]]),"",IF(_xlfn.XLOOKUP(Term1_Day_7[[#This Row],[Activity]],Types_of_Activity[Type of Activity],Types_of_Activity[Classification])=1,Term1_Day_7[[#This Row],[Elapsed]],0))</f>
        <v/>
      </c>
      <c r="AW26" s="105" t="str">
        <f>IF(ISBLANK(Term1_Day_7[[#This Row],[Activity]]),"",IF(_xlfn.XLOOKUP(Term1_Day_7[[#This Row],[Activity]],Types_of_Activity[Type of Activity],Types_of_Activity[Classification])=2,Term1_Day_7[[#This Row],[Elapsed]],0))</f>
        <v/>
      </c>
      <c r="AX26" s="106"/>
      <c r="AY26" s="135"/>
      <c r="AZ26" s="135"/>
      <c r="BA26" s="102"/>
      <c r="BB26" s="105" t="str">
        <f>IF(OR(ISBLANK(Term1_Day_8[[#This Row],[Start]]),ISBLANK(Term1_Day_8[[#This Row],[End]])),"",(Term1_Day_8[[#This Row],[End]]-Term1_Day_8[[#This Row],[Start]])*1440)</f>
        <v/>
      </c>
      <c r="BC26" s="105" t="str">
        <f>IF(ISBLANK(Term1_Day_8[[#This Row],[Activity]]),"",IF(_xlfn.XLOOKUP(Term1_Day_8[[#This Row],[Activity]],Types_of_Activity[Type of Activity],Types_of_Activity[Classification])=1,Term1_Day_8[[#This Row],[Elapsed]],0))</f>
        <v/>
      </c>
      <c r="BD26" s="105" t="str">
        <f>IF(ISBLANK(Term1_Day_8[[#This Row],[Activity]]),"",IF(_xlfn.XLOOKUP(Term1_Day_8[[#This Row],[Activity]],Types_of_Activity[Type of Activity],Types_of_Activity[Classification])=2,Term1_Day_8[[#This Row],[Elapsed]],0))</f>
        <v/>
      </c>
      <c r="BE26" s="106"/>
      <c r="BF26" s="135"/>
      <c r="BG26" s="135"/>
      <c r="BH26" s="102"/>
      <c r="BI26" s="105" t="str">
        <f>IF(OR(ISBLANK(Term1_Day_9[[#This Row],[Start]]),ISBLANK(Term1_Day_9[[#This Row],[End]])),"",(Term1_Day_9[[#This Row],[End]]-Term1_Day_9[[#This Row],[Start]])*1440)</f>
        <v/>
      </c>
      <c r="BJ26" s="105" t="str">
        <f>IF(ISBLANK(Term1_Day_9[[#This Row],[Activity]]),"",IF(_xlfn.XLOOKUP(Term1_Day_9[[#This Row],[Activity]],Types_of_Activity[Type of Activity],Types_of_Activity[Classification])=1,Term1_Day_9[[#This Row],[Elapsed]],0))</f>
        <v/>
      </c>
      <c r="BK26" s="105" t="str">
        <f>IF(ISBLANK(Term1_Day_9[[#This Row],[Activity]]),"",IF(_xlfn.XLOOKUP(Term1_Day_9[[#This Row],[Activity]],Types_of_Activity[Type of Activity],Types_of_Activity[Classification])=2,Term1_Day_9[[#This Row],[Elapsed]],0))</f>
        <v/>
      </c>
      <c r="BL26" s="106"/>
      <c r="BM26" s="135"/>
      <c r="BN26" s="135"/>
      <c r="BO26" s="102"/>
      <c r="BP26" s="105" t="str">
        <f>IF(OR(ISBLANK(Term1_Day_10[[#This Row],[Start]]),ISBLANK(Term1_Day_10[[#This Row],[End]])),"",(Term1_Day_10[[#This Row],[End]]-Term1_Day_10[[#This Row],[Start]])*1440)</f>
        <v/>
      </c>
      <c r="BQ26" s="105" t="str">
        <f>IF(ISBLANK(Term1_Day_10[[#This Row],[Activity]]),"",IF(_xlfn.XLOOKUP(Term1_Day_10[[#This Row],[Activity]],Types_of_Activity[Type of Activity],Types_of_Activity[Classification])=1,Term1_Day_10[[#This Row],[Elapsed]],0))</f>
        <v/>
      </c>
      <c r="BR26" s="105" t="str">
        <f>IF(ISBLANK(Term1_Day_10[[#This Row],[Activity]]),"",IF(_xlfn.XLOOKUP(Term1_Day_10[[#This Row],[Activity]],Types_of_Activity[Type of Activity],Types_of_Activity[Classification])=2,Term1_Day_10[[#This Row],[Elapsed]],0))</f>
        <v/>
      </c>
      <c r="BS26" s="106"/>
    </row>
    <row r="27" spans="2:71" x14ac:dyDescent="0.3">
      <c r="B27" s="135"/>
      <c r="C27" s="135"/>
      <c r="D27" s="102"/>
      <c r="E27" s="105" t="str">
        <f>IF(OR(ISBLANK(Term1_Day_1[[#This Row],[Start]]),ISBLANK(Term1_Day_1[[#This Row],[End]])),"",(Term1_Day_1[[#This Row],[End]]-Term1_Day_1[[#This Row],[Start]])*1440)</f>
        <v/>
      </c>
      <c r="F27" s="105" t="str">
        <f>IF(ISBLANK(Term1_Day_1[[#This Row],[Activity]]),"",IF(_xlfn.XLOOKUP(Term1_Day_1[[#This Row],[Activity]],Types_of_Activity[Type of Activity],Types_of_Activity[Classification])=1,Term1_Day_1[[#This Row],[Elapsed]],0))</f>
        <v/>
      </c>
      <c r="G27" s="105" t="str">
        <f>IF(ISBLANK(Term1_Day_1[[#This Row],[Activity]]),"",IF(_xlfn.XLOOKUP(Term1_Day_1[[#This Row],[Activity]],Types_of_Activity[Type of Activity],Types_of_Activity[Classification])=2,Term1_Day_1[[#This Row],[Elapsed]],0))</f>
        <v/>
      </c>
      <c r="I27" s="135"/>
      <c r="J27" s="135"/>
      <c r="K27" s="102"/>
      <c r="L27" s="105" t="str">
        <f>IF(OR(ISBLANK(Term1_Day_2[[#This Row],[Start]]),ISBLANK(Term1_Day_2[[#This Row],[End]])),"",(Term1_Day_2[[#This Row],[End]]-Term1_Day_2[[#This Row],[Start]])*1440)</f>
        <v/>
      </c>
      <c r="M27" s="105" t="str">
        <f>IF(ISBLANK(Term1_Day_2[[#This Row],[Activity]]),"",IF(_xlfn.XLOOKUP(Term1_Day_2[[#This Row],[Activity]],Types_of_Activity[Type of Activity],Types_of_Activity[Classification])=1,Term1_Day_2[[#This Row],[Elapsed]],0))</f>
        <v/>
      </c>
      <c r="N27" s="105" t="str">
        <f>IF(ISBLANK(Term1_Day_2[[#This Row],[Activity]]),"",IF(_xlfn.XLOOKUP(Term1_Day_2[[#This Row],[Activity]],Types_of_Activity[Type of Activity],Types_of_Activity[Classification])=2,Term1_Day_2[[#This Row],[Elapsed]],0))</f>
        <v/>
      </c>
      <c r="P27" s="135"/>
      <c r="Q27" s="135"/>
      <c r="R27" s="102"/>
      <c r="S27" s="105" t="str">
        <f>IF(OR(ISBLANK(Term1_Day_3[[#This Row],[Start]]),ISBLANK(Term1_Day_3[[#This Row],[End]])),"",(Term1_Day_3[[#This Row],[End]]-Term1_Day_3[[#This Row],[Start]])*1440)</f>
        <v/>
      </c>
      <c r="T27" s="105" t="str">
        <f>IF(ISBLANK(Term1_Day_3[[#This Row],[Activity]]),"",IF(_xlfn.XLOOKUP(Term1_Day_3[[#This Row],[Activity]],Types_of_Activity[Type of Activity],Types_of_Activity[Classification])=1,Term1_Day_3[[#This Row],[Elapsed]],0))</f>
        <v/>
      </c>
      <c r="U27" s="105" t="str">
        <f>IF(ISBLANK(Term1_Day_3[[#This Row],[Activity]]),"",IF(_xlfn.XLOOKUP(Term1_Day_3[[#This Row],[Activity]],Types_of_Activity[Type of Activity],Types_of_Activity[Classification])=2,Term1_Day_3[[#This Row],[Elapsed]],0))</f>
        <v/>
      </c>
      <c r="W27" s="135"/>
      <c r="X27" s="135"/>
      <c r="Y27" s="102"/>
      <c r="Z27" s="105" t="str">
        <f>IF(OR(ISBLANK(Term1_Day_4[[#This Row],[Start]]),ISBLANK(Term1_Day_4[[#This Row],[End]])),"",(Term1_Day_4[[#This Row],[End]]-Term1_Day_4[[#This Row],[Start]])*1440)</f>
        <v/>
      </c>
      <c r="AA27" s="105" t="str">
        <f>IF(ISBLANK(Term1_Day_4[[#This Row],[Activity]]),"",IF(_xlfn.XLOOKUP(Term1_Day_4[[#This Row],[Activity]],Types_of_Activity[Type of Activity],Types_of_Activity[Classification])=1,Term1_Day_4[[#This Row],[Elapsed]],0))</f>
        <v/>
      </c>
      <c r="AB27" s="105" t="str">
        <f>IF(ISBLANK(Term1_Day_4[[#This Row],[Activity]]),"",IF(_xlfn.XLOOKUP(Term1_Day_4[[#This Row],[Activity]],Types_of_Activity[Type of Activity],Types_of_Activity[Classification])=2,Term1_Day_4[[#This Row],[Elapsed]],0))</f>
        <v/>
      </c>
      <c r="AD27" s="135"/>
      <c r="AE27" s="135"/>
      <c r="AF27" s="102"/>
      <c r="AG27" s="105" t="str">
        <f>IF(OR(ISBLANK(Term1_Day_5[[#This Row],[Start]]),ISBLANK(Term1_Day_5[[#This Row],[End]])),"",(Term1_Day_5[[#This Row],[End]]-Term1_Day_5[[#This Row],[Start]])*1440)</f>
        <v/>
      </c>
      <c r="AH27" s="105" t="str">
        <f>IF(ISBLANK(Term1_Day_5[[#This Row],[Activity]]),"",IF(_xlfn.XLOOKUP(Term1_Day_5[[#This Row],[Activity]],Types_of_Activity[Type of Activity],Types_of_Activity[Classification])=1,Term1_Day_5[[#This Row],[Elapsed]],0))</f>
        <v/>
      </c>
      <c r="AI27" s="105" t="str">
        <f>IF(ISBLANK(Term1_Day_5[[#This Row],[Activity]]),"",IF(_xlfn.XLOOKUP(Term1_Day_5[[#This Row],[Activity]],Types_of_Activity[Type of Activity],Types_of_Activity[Classification])=2,Term1_Day_5[[#This Row],[Elapsed]],0))</f>
        <v/>
      </c>
      <c r="AJ27" s="106"/>
      <c r="AK27" s="135"/>
      <c r="AL27" s="135"/>
      <c r="AM27" s="102"/>
      <c r="AN27" s="105" t="str">
        <f>IF(OR(ISBLANK(Term1_Day_6[[#This Row],[Start]]),ISBLANK(Term1_Day_6[[#This Row],[End]])),"",(Term1_Day_6[[#This Row],[End]]-Term1_Day_6[[#This Row],[Start]])*1440)</f>
        <v/>
      </c>
      <c r="AO27" s="105" t="str">
        <f>IF(ISBLANK(Term1_Day_6[[#This Row],[Activity]]),"",IF(_xlfn.XLOOKUP(Term1_Day_6[[#This Row],[Activity]],Types_of_Activity[Type of Activity],Types_of_Activity[Classification])=1,Term1_Day_6[[#This Row],[Elapsed]],0))</f>
        <v/>
      </c>
      <c r="AP27" s="105" t="str">
        <f>IF(ISBLANK(Term1_Day_6[[#This Row],[Activity]]),"",IF(_xlfn.XLOOKUP(Term1_Day_6[[#This Row],[Activity]],Types_of_Activity[Type of Activity],Types_of_Activity[Classification])=2,Term1_Day_6[[#This Row],[Elapsed]],0))</f>
        <v/>
      </c>
      <c r="AQ27" s="106"/>
      <c r="AR27" s="135"/>
      <c r="AS27" s="135"/>
      <c r="AT27" s="102"/>
      <c r="AU27" s="105" t="str">
        <f>IF(OR(ISBLANK(Term1_Day_7[[#This Row],[Start]]),ISBLANK(Term1_Day_7[[#This Row],[End]])),"",(Term1_Day_7[[#This Row],[End]]-Term1_Day_7[[#This Row],[Start]])*1440)</f>
        <v/>
      </c>
      <c r="AV27" s="105" t="str">
        <f>IF(ISBLANK(Term1_Day_7[[#This Row],[Activity]]),"",IF(_xlfn.XLOOKUP(Term1_Day_7[[#This Row],[Activity]],Types_of_Activity[Type of Activity],Types_of_Activity[Classification])=1,Term1_Day_7[[#This Row],[Elapsed]],0))</f>
        <v/>
      </c>
      <c r="AW27" s="105" t="str">
        <f>IF(ISBLANK(Term1_Day_7[[#This Row],[Activity]]),"",IF(_xlfn.XLOOKUP(Term1_Day_7[[#This Row],[Activity]],Types_of_Activity[Type of Activity],Types_of_Activity[Classification])=2,Term1_Day_7[[#This Row],[Elapsed]],0))</f>
        <v/>
      </c>
      <c r="AX27" s="106"/>
      <c r="AY27" s="135"/>
      <c r="AZ27" s="135"/>
      <c r="BA27" s="102"/>
      <c r="BB27" s="105" t="str">
        <f>IF(OR(ISBLANK(Term1_Day_8[[#This Row],[Start]]),ISBLANK(Term1_Day_8[[#This Row],[End]])),"",(Term1_Day_8[[#This Row],[End]]-Term1_Day_8[[#This Row],[Start]])*1440)</f>
        <v/>
      </c>
      <c r="BC27" s="105" t="str">
        <f>IF(ISBLANK(Term1_Day_8[[#This Row],[Activity]]),"",IF(_xlfn.XLOOKUP(Term1_Day_8[[#This Row],[Activity]],Types_of_Activity[Type of Activity],Types_of_Activity[Classification])=1,Term1_Day_8[[#This Row],[Elapsed]],0))</f>
        <v/>
      </c>
      <c r="BD27" s="105" t="str">
        <f>IF(ISBLANK(Term1_Day_8[[#This Row],[Activity]]),"",IF(_xlfn.XLOOKUP(Term1_Day_8[[#This Row],[Activity]],Types_of_Activity[Type of Activity],Types_of_Activity[Classification])=2,Term1_Day_8[[#This Row],[Elapsed]],0))</f>
        <v/>
      </c>
      <c r="BE27" s="106"/>
      <c r="BF27" s="135"/>
      <c r="BG27" s="135"/>
      <c r="BH27" s="102"/>
      <c r="BI27" s="105" t="str">
        <f>IF(OR(ISBLANK(Term1_Day_9[[#This Row],[Start]]),ISBLANK(Term1_Day_9[[#This Row],[End]])),"",(Term1_Day_9[[#This Row],[End]]-Term1_Day_9[[#This Row],[Start]])*1440)</f>
        <v/>
      </c>
      <c r="BJ27" s="105" t="str">
        <f>IF(ISBLANK(Term1_Day_9[[#This Row],[Activity]]),"",IF(_xlfn.XLOOKUP(Term1_Day_9[[#This Row],[Activity]],Types_of_Activity[Type of Activity],Types_of_Activity[Classification])=1,Term1_Day_9[[#This Row],[Elapsed]],0))</f>
        <v/>
      </c>
      <c r="BK27" s="105" t="str">
        <f>IF(ISBLANK(Term1_Day_9[[#This Row],[Activity]]),"",IF(_xlfn.XLOOKUP(Term1_Day_9[[#This Row],[Activity]],Types_of_Activity[Type of Activity],Types_of_Activity[Classification])=2,Term1_Day_9[[#This Row],[Elapsed]],0))</f>
        <v/>
      </c>
      <c r="BL27" s="106"/>
      <c r="BM27" s="135"/>
      <c r="BN27" s="135"/>
      <c r="BO27" s="102"/>
      <c r="BP27" s="105" t="str">
        <f>IF(OR(ISBLANK(Term1_Day_10[[#This Row],[Start]]),ISBLANK(Term1_Day_10[[#This Row],[End]])),"",(Term1_Day_10[[#This Row],[End]]-Term1_Day_10[[#This Row],[Start]])*1440)</f>
        <v/>
      </c>
      <c r="BQ27" s="105" t="str">
        <f>IF(ISBLANK(Term1_Day_10[[#This Row],[Activity]]),"",IF(_xlfn.XLOOKUP(Term1_Day_10[[#This Row],[Activity]],Types_of_Activity[Type of Activity],Types_of_Activity[Classification])=1,Term1_Day_10[[#This Row],[Elapsed]],0))</f>
        <v/>
      </c>
      <c r="BR27" s="105" t="str">
        <f>IF(ISBLANK(Term1_Day_10[[#This Row],[Activity]]),"",IF(_xlfn.XLOOKUP(Term1_Day_10[[#This Row],[Activity]],Types_of_Activity[Type of Activity],Types_of_Activity[Classification])=2,Term1_Day_10[[#This Row],[Elapsed]],0))</f>
        <v/>
      </c>
      <c r="BS27" s="106"/>
    </row>
    <row r="28" spans="2:71" x14ac:dyDescent="0.3">
      <c r="B28" s="135"/>
      <c r="C28" s="135"/>
      <c r="D28" s="102"/>
      <c r="E28" s="105" t="str">
        <f>IF(OR(ISBLANK(Term1_Day_1[[#This Row],[Start]]),ISBLANK(Term1_Day_1[[#This Row],[End]])),"",(Term1_Day_1[[#This Row],[End]]-Term1_Day_1[[#This Row],[Start]])*1440)</f>
        <v/>
      </c>
      <c r="F28" s="105" t="str">
        <f>IF(ISBLANK(Term1_Day_1[[#This Row],[Activity]]),"",IF(_xlfn.XLOOKUP(Term1_Day_1[[#This Row],[Activity]],Types_of_Activity[Type of Activity],Types_of_Activity[Classification])=1,Term1_Day_1[[#This Row],[Elapsed]],0))</f>
        <v/>
      </c>
      <c r="G28" s="105" t="str">
        <f>IF(ISBLANK(Term1_Day_1[[#This Row],[Activity]]),"",IF(_xlfn.XLOOKUP(Term1_Day_1[[#This Row],[Activity]],Types_of_Activity[Type of Activity],Types_of_Activity[Classification])=2,Term1_Day_1[[#This Row],[Elapsed]],0))</f>
        <v/>
      </c>
      <c r="I28" s="135"/>
      <c r="J28" s="135"/>
      <c r="K28" s="102"/>
      <c r="L28" s="105" t="str">
        <f>IF(OR(ISBLANK(Term1_Day_2[[#This Row],[Start]]),ISBLANK(Term1_Day_2[[#This Row],[End]])),"",(Term1_Day_2[[#This Row],[End]]-Term1_Day_2[[#This Row],[Start]])*1440)</f>
        <v/>
      </c>
      <c r="M28" s="105" t="str">
        <f>IF(ISBLANK(Term1_Day_2[[#This Row],[Activity]]),"",IF(_xlfn.XLOOKUP(Term1_Day_2[[#This Row],[Activity]],Types_of_Activity[Type of Activity],Types_of_Activity[Classification])=1,Term1_Day_2[[#This Row],[Elapsed]],0))</f>
        <v/>
      </c>
      <c r="N28" s="105" t="str">
        <f>IF(ISBLANK(Term1_Day_2[[#This Row],[Activity]]),"",IF(_xlfn.XLOOKUP(Term1_Day_2[[#This Row],[Activity]],Types_of_Activity[Type of Activity],Types_of_Activity[Classification])=2,Term1_Day_2[[#This Row],[Elapsed]],0))</f>
        <v/>
      </c>
      <c r="P28" s="135"/>
      <c r="Q28" s="135"/>
      <c r="R28" s="102"/>
      <c r="S28" s="105" t="str">
        <f>IF(OR(ISBLANK(Term1_Day_3[[#This Row],[Start]]),ISBLANK(Term1_Day_3[[#This Row],[End]])),"",(Term1_Day_3[[#This Row],[End]]-Term1_Day_3[[#This Row],[Start]])*1440)</f>
        <v/>
      </c>
      <c r="T28" s="105" t="str">
        <f>IF(ISBLANK(Term1_Day_3[[#This Row],[Activity]]),"",IF(_xlfn.XLOOKUP(Term1_Day_3[[#This Row],[Activity]],Types_of_Activity[Type of Activity],Types_of_Activity[Classification])=1,Term1_Day_3[[#This Row],[Elapsed]],0))</f>
        <v/>
      </c>
      <c r="U28" s="105" t="str">
        <f>IF(ISBLANK(Term1_Day_3[[#This Row],[Activity]]),"",IF(_xlfn.XLOOKUP(Term1_Day_3[[#This Row],[Activity]],Types_of_Activity[Type of Activity],Types_of_Activity[Classification])=2,Term1_Day_3[[#This Row],[Elapsed]],0))</f>
        <v/>
      </c>
      <c r="W28" s="135"/>
      <c r="X28" s="135"/>
      <c r="Y28" s="102"/>
      <c r="Z28" s="105" t="str">
        <f>IF(OR(ISBLANK(Term1_Day_4[[#This Row],[Start]]),ISBLANK(Term1_Day_4[[#This Row],[End]])),"",(Term1_Day_4[[#This Row],[End]]-Term1_Day_4[[#This Row],[Start]])*1440)</f>
        <v/>
      </c>
      <c r="AA28" s="105" t="str">
        <f>IF(ISBLANK(Term1_Day_4[[#This Row],[Activity]]),"",IF(_xlfn.XLOOKUP(Term1_Day_4[[#This Row],[Activity]],Types_of_Activity[Type of Activity],Types_of_Activity[Classification])=1,Term1_Day_4[[#This Row],[Elapsed]],0))</f>
        <v/>
      </c>
      <c r="AB28" s="105" t="str">
        <f>IF(ISBLANK(Term1_Day_4[[#This Row],[Activity]]),"",IF(_xlfn.XLOOKUP(Term1_Day_4[[#This Row],[Activity]],Types_of_Activity[Type of Activity],Types_of_Activity[Classification])=2,Term1_Day_4[[#This Row],[Elapsed]],0))</f>
        <v/>
      </c>
      <c r="AD28" s="135"/>
      <c r="AE28" s="135"/>
      <c r="AF28" s="102"/>
      <c r="AG28" s="105" t="str">
        <f>IF(OR(ISBLANK(Term1_Day_5[[#This Row],[Start]]),ISBLANK(Term1_Day_5[[#This Row],[End]])),"",(Term1_Day_5[[#This Row],[End]]-Term1_Day_5[[#This Row],[Start]])*1440)</f>
        <v/>
      </c>
      <c r="AH28" s="105" t="str">
        <f>IF(ISBLANK(Term1_Day_5[[#This Row],[Activity]]),"",IF(_xlfn.XLOOKUP(Term1_Day_5[[#This Row],[Activity]],Types_of_Activity[Type of Activity],Types_of_Activity[Classification])=1,Term1_Day_5[[#This Row],[Elapsed]],0))</f>
        <v/>
      </c>
      <c r="AI28" s="105" t="str">
        <f>IF(ISBLANK(Term1_Day_5[[#This Row],[Activity]]),"",IF(_xlfn.XLOOKUP(Term1_Day_5[[#This Row],[Activity]],Types_of_Activity[Type of Activity],Types_of_Activity[Classification])=2,Term1_Day_5[[#This Row],[Elapsed]],0))</f>
        <v/>
      </c>
      <c r="AJ28" s="106"/>
      <c r="AK28" s="135"/>
      <c r="AL28" s="135"/>
      <c r="AM28" s="102"/>
      <c r="AN28" s="105" t="str">
        <f>IF(OR(ISBLANK(Term1_Day_6[[#This Row],[Start]]),ISBLANK(Term1_Day_6[[#This Row],[End]])),"",(Term1_Day_6[[#This Row],[End]]-Term1_Day_6[[#This Row],[Start]])*1440)</f>
        <v/>
      </c>
      <c r="AO28" s="105" t="str">
        <f>IF(ISBLANK(Term1_Day_6[[#This Row],[Activity]]),"",IF(_xlfn.XLOOKUP(Term1_Day_6[[#This Row],[Activity]],Types_of_Activity[Type of Activity],Types_of_Activity[Classification])=1,Term1_Day_6[[#This Row],[Elapsed]],0))</f>
        <v/>
      </c>
      <c r="AP28" s="105" t="str">
        <f>IF(ISBLANK(Term1_Day_6[[#This Row],[Activity]]),"",IF(_xlfn.XLOOKUP(Term1_Day_6[[#This Row],[Activity]],Types_of_Activity[Type of Activity],Types_of_Activity[Classification])=2,Term1_Day_6[[#This Row],[Elapsed]],0))</f>
        <v/>
      </c>
      <c r="AQ28" s="106"/>
      <c r="AR28" s="135"/>
      <c r="AS28" s="135"/>
      <c r="AT28" s="102"/>
      <c r="AU28" s="105" t="str">
        <f>IF(OR(ISBLANK(Term1_Day_7[[#This Row],[Start]]),ISBLANK(Term1_Day_7[[#This Row],[End]])),"",(Term1_Day_7[[#This Row],[End]]-Term1_Day_7[[#This Row],[Start]])*1440)</f>
        <v/>
      </c>
      <c r="AV28" s="105" t="str">
        <f>IF(ISBLANK(Term1_Day_7[[#This Row],[Activity]]),"",IF(_xlfn.XLOOKUP(Term1_Day_7[[#This Row],[Activity]],Types_of_Activity[Type of Activity],Types_of_Activity[Classification])=1,Term1_Day_7[[#This Row],[Elapsed]],0))</f>
        <v/>
      </c>
      <c r="AW28" s="105" t="str">
        <f>IF(ISBLANK(Term1_Day_7[[#This Row],[Activity]]),"",IF(_xlfn.XLOOKUP(Term1_Day_7[[#This Row],[Activity]],Types_of_Activity[Type of Activity],Types_of_Activity[Classification])=2,Term1_Day_7[[#This Row],[Elapsed]],0))</f>
        <v/>
      </c>
      <c r="AX28" s="106"/>
      <c r="AY28" s="135"/>
      <c r="AZ28" s="135"/>
      <c r="BA28" s="102"/>
      <c r="BB28" s="105" t="str">
        <f>IF(OR(ISBLANK(Term1_Day_8[[#This Row],[Start]]),ISBLANK(Term1_Day_8[[#This Row],[End]])),"",(Term1_Day_8[[#This Row],[End]]-Term1_Day_8[[#This Row],[Start]])*1440)</f>
        <v/>
      </c>
      <c r="BC28" s="105" t="str">
        <f>IF(ISBLANK(Term1_Day_8[[#This Row],[Activity]]),"",IF(_xlfn.XLOOKUP(Term1_Day_8[[#This Row],[Activity]],Types_of_Activity[Type of Activity],Types_of_Activity[Classification])=1,Term1_Day_8[[#This Row],[Elapsed]],0))</f>
        <v/>
      </c>
      <c r="BD28" s="105" t="str">
        <f>IF(ISBLANK(Term1_Day_8[[#This Row],[Activity]]),"",IF(_xlfn.XLOOKUP(Term1_Day_8[[#This Row],[Activity]],Types_of_Activity[Type of Activity],Types_of_Activity[Classification])=2,Term1_Day_8[[#This Row],[Elapsed]],0))</f>
        <v/>
      </c>
      <c r="BE28" s="106"/>
      <c r="BF28" s="135"/>
      <c r="BG28" s="135"/>
      <c r="BH28" s="102"/>
      <c r="BI28" s="105" t="str">
        <f>IF(OR(ISBLANK(Term1_Day_9[[#This Row],[Start]]),ISBLANK(Term1_Day_9[[#This Row],[End]])),"",(Term1_Day_9[[#This Row],[End]]-Term1_Day_9[[#This Row],[Start]])*1440)</f>
        <v/>
      </c>
      <c r="BJ28" s="105" t="str">
        <f>IF(ISBLANK(Term1_Day_9[[#This Row],[Activity]]),"",IF(_xlfn.XLOOKUP(Term1_Day_9[[#This Row],[Activity]],Types_of_Activity[Type of Activity],Types_of_Activity[Classification])=1,Term1_Day_9[[#This Row],[Elapsed]],0))</f>
        <v/>
      </c>
      <c r="BK28" s="105" t="str">
        <f>IF(ISBLANK(Term1_Day_9[[#This Row],[Activity]]),"",IF(_xlfn.XLOOKUP(Term1_Day_9[[#This Row],[Activity]],Types_of_Activity[Type of Activity],Types_of_Activity[Classification])=2,Term1_Day_9[[#This Row],[Elapsed]],0))</f>
        <v/>
      </c>
      <c r="BL28" s="106"/>
      <c r="BM28" s="135"/>
      <c r="BN28" s="135"/>
      <c r="BO28" s="102"/>
      <c r="BP28" s="105" t="str">
        <f>IF(OR(ISBLANK(Term1_Day_10[[#This Row],[Start]]),ISBLANK(Term1_Day_10[[#This Row],[End]])),"",(Term1_Day_10[[#This Row],[End]]-Term1_Day_10[[#This Row],[Start]])*1440)</f>
        <v/>
      </c>
      <c r="BQ28" s="105" t="str">
        <f>IF(ISBLANK(Term1_Day_10[[#This Row],[Activity]]),"",IF(_xlfn.XLOOKUP(Term1_Day_10[[#This Row],[Activity]],Types_of_Activity[Type of Activity],Types_of_Activity[Classification])=1,Term1_Day_10[[#This Row],[Elapsed]],0))</f>
        <v/>
      </c>
      <c r="BR28" s="105" t="str">
        <f>IF(ISBLANK(Term1_Day_10[[#This Row],[Activity]]),"",IF(_xlfn.XLOOKUP(Term1_Day_10[[#This Row],[Activity]],Types_of_Activity[Type of Activity],Types_of_Activity[Classification])=2,Term1_Day_10[[#This Row],[Elapsed]],0))</f>
        <v/>
      </c>
      <c r="BS28" s="106"/>
    </row>
    <row r="29" spans="2:71" x14ac:dyDescent="0.3">
      <c r="B29" s="135"/>
      <c r="C29" s="135"/>
      <c r="D29" s="102"/>
      <c r="E29" s="105" t="str">
        <f>IF(OR(ISBLANK(Term1_Day_1[[#This Row],[Start]]),ISBLANK(Term1_Day_1[[#This Row],[End]])),"",(Term1_Day_1[[#This Row],[End]]-Term1_Day_1[[#This Row],[Start]])*1440)</f>
        <v/>
      </c>
      <c r="F29" s="105" t="str">
        <f>IF(ISBLANK(Term1_Day_1[[#This Row],[Activity]]),"",IF(_xlfn.XLOOKUP(Term1_Day_1[[#This Row],[Activity]],Types_of_Activity[Type of Activity],Types_of_Activity[Classification])=1,Term1_Day_1[[#This Row],[Elapsed]],0))</f>
        <v/>
      </c>
      <c r="G29" s="105" t="str">
        <f>IF(ISBLANK(Term1_Day_1[[#This Row],[Activity]]),"",IF(_xlfn.XLOOKUP(Term1_Day_1[[#This Row],[Activity]],Types_of_Activity[Type of Activity],Types_of_Activity[Classification])=2,Term1_Day_1[[#This Row],[Elapsed]],0))</f>
        <v/>
      </c>
      <c r="I29" s="135"/>
      <c r="J29" s="135"/>
      <c r="K29" s="102"/>
      <c r="L29" s="105" t="str">
        <f>IF(OR(ISBLANK(Term1_Day_2[[#This Row],[Start]]),ISBLANK(Term1_Day_2[[#This Row],[End]])),"",(Term1_Day_2[[#This Row],[End]]-Term1_Day_2[[#This Row],[Start]])*1440)</f>
        <v/>
      </c>
      <c r="M29" s="105" t="str">
        <f>IF(ISBLANK(Term1_Day_2[[#This Row],[Activity]]),"",IF(_xlfn.XLOOKUP(Term1_Day_2[[#This Row],[Activity]],Types_of_Activity[Type of Activity],Types_of_Activity[Classification])=1,Term1_Day_2[[#This Row],[Elapsed]],0))</f>
        <v/>
      </c>
      <c r="N29" s="105" t="str">
        <f>IF(ISBLANK(Term1_Day_2[[#This Row],[Activity]]),"",IF(_xlfn.XLOOKUP(Term1_Day_2[[#This Row],[Activity]],Types_of_Activity[Type of Activity],Types_of_Activity[Classification])=2,Term1_Day_2[[#This Row],[Elapsed]],0))</f>
        <v/>
      </c>
      <c r="P29" s="135"/>
      <c r="Q29" s="135"/>
      <c r="R29" s="102"/>
      <c r="S29" s="105" t="str">
        <f>IF(OR(ISBLANK(Term1_Day_3[[#This Row],[Start]]),ISBLANK(Term1_Day_3[[#This Row],[End]])),"",(Term1_Day_3[[#This Row],[End]]-Term1_Day_3[[#This Row],[Start]])*1440)</f>
        <v/>
      </c>
      <c r="T29" s="105" t="str">
        <f>IF(ISBLANK(Term1_Day_3[[#This Row],[Activity]]),"",IF(_xlfn.XLOOKUP(Term1_Day_3[[#This Row],[Activity]],Types_of_Activity[Type of Activity],Types_of_Activity[Classification])=1,Term1_Day_3[[#This Row],[Elapsed]],0))</f>
        <v/>
      </c>
      <c r="U29" s="105" t="str">
        <f>IF(ISBLANK(Term1_Day_3[[#This Row],[Activity]]),"",IF(_xlfn.XLOOKUP(Term1_Day_3[[#This Row],[Activity]],Types_of_Activity[Type of Activity],Types_of_Activity[Classification])=2,Term1_Day_3[[#This Row],[Elapsed]],0))</f>
        <v/>
      </c>
      <c r="W29" s="135"/>
      <c r="X29" s="135"/>
      <c r="Y29" s="102"/>
      <c r="Z29" s="105" t="str">
        <f>IF(OR(ISBLANK(Term1_Day_4[[#This Row],[Start]]),ISBLANK(Term1_Day_4[[#This Row],[End]])),"",(Term1_Day_4[[#This Row],[End]]-Term1_Day_4[[#This Row],[Start]])*1440)</f>
        <v/>
      </c>
      <c r="AA29" s="105" t="str">
        <f>IF(ISBLANK(Term1_Day_4[[#This Row],[Activity]]),"",IF(_xlfn.XLOOKUP(Term1_Day_4[[#This Row],[Activity]],Types_of_Activity[Type of Activity],Types_of_Activity[Classification])=1,Term1_Day_4[[#This Row],[Elapsed]],0))</f>
        <v/>
      </c>
      <c r="AB29" s="105" t="str">
        <f>IF(ISBLANK(Term1_Day_4[[#This Row],[Activity]]),"",IF(_xlfn.XLOOKUP(Term1_Day_4[[#This Row],[Activity]],Types_of_Activity[Type of Activity],Types_of_Activity[Classification])=2,Term1_Day_4[[#This Row],[Elapsed]],0))</f>
        <v/>
      </c>
      <c r="AD29" s="135"/>
      <c r="AE29" s="135"/>
      <c r="AF29" s="102"/>
      <c r="AG29" s="105" t="str">
        <f>IF(OR(ISBLANK(Term1_Day_5[[#This Row],[Start]]),ISBLANK(Term1_Day_5[[#This Row],[End]])),"",(Term1_Day_5[[#This Row],[End]]-Term1_Day_5[[#This Row],[Start]])*1440)</f>
        <v/>
      </c>
      <c r="AH29" s="105" t="str">
        <f>IF(ISBLANK(Term1_Day_5[[#This Row],[Activity]]),"",IF(_xlfn.XLOOKUP(Term1_Day_5[[#This Row],[Activity]],Types_of_Activity[Type of Activity],Types_of_Activity[Classification])=1,Term1_Day_5[[#This Row],[Elapsed]],0))</f>
        <v/>
      </c>
      <c r="AI29" s="105" t="str">
        <f>IF(ISBLANK(Term1_Day_5[[#This Row],[Activity]]),"",IF(_xlfn.XLOOKUP(Term1_Day_5[[#This Row],[Activity]],Types_of_Activity[Type of Activity],Types_of_Activity[Classification])=2,Term1_Day_5[[#This Row],[Elapsed]],0))</f>
        <v/>
      </c>
      <c r="AJ29" s="106"/>
      <c r="AK29" s="135"/>
      <c r="AL29" s="135"/>
      <c r="AM29" s="102"/>
      <c r="AN29" s="105" t="str">
        <f>IF(OR(ISBLANK(Term1_Day_6[[#This Row],[Start]]),ISBLANK(Term1_Day_6[[#This Row],[End]])),"",(Term1_Day_6[[#This Row],[End]]-Term1_Day_6[[#This Row],[Start]])*1440)</f>
        <v/>
      </c>
      <c r="AO29" s="105" t="str">
        <f>IF(ISBLANK(Term1_Day_6[[#This Row],[Activity]]),"",IF(_xlfn.XLOOKUP(Term1_Day_6[[#This Row],[Activity]],Types_of_Activity[Type of Activity],Types_of_Activity[Classification])=1,Term1_Day_6[[#This Row],[Elapsed]],0))</f>
        <v/>
      </c>
      <c r="AP29" s="105" t="str">
        <f>IF(ISBLANK(Term1_Day_6[[#This Row],[Activity]]),"",IF(_xlfn.XLOOKUP(Term1_Day_6[[#This Row],[Activity]],Types_of_Activity[Type of Activity],Types_of_Activity[Classification])=2,Term1_Day_6[[#This Row],[Elapsed]],0))</f>
        <v/>
      </c>
      <c r="AQ29" s="106"/>
      <c r="AR29" s="135"/>
      <c r="AS29" s="135"/>
      <c r="AT29" s="102"/>
      <c r="AU29" s="105" t="str">
        <f>IF(OR(ISBLANK(Term1_Day_7[[#This Row],[Start]]),ISBLANK(Term1_Day_7[[#This Row],[End]])),"",(Term1_Day_7[[#This Row],[End]]-Term1_Day_7[[#This Row],[Start]])*1440)</f>
        <v/>
      </c>
      <c r="AV29" s="105" t="str">
        <f>IF(ISBLANK(Term1_Day_7[[#This Row],[Activity]]),"",IF(_xlfn.XLOOKUP(Term1_Day_7[[#This Row],[Activity]],Types_of_Activity[Type of Activity],Types_of_Activity[Classification])=1,Term1_Day_7[[#This Row],[Elapsed]],0))</f>
        <v/>
      </c>
      <c r="AW29" s="105" t="str">
        <f>IF(ISBLANK(Term1_Day_7[[#This Row],[Activity]]),"",IF(_xlfn.XLOOKUP(Term1_Day_7[[#This Row],[Activity]],Types_of_Activity[Type of Activity],Types_of_Activity[Classification])=2,Term1_Day_7[[#This Row],[Elapsed]],0))</f>
        <v/>
      </c>
      <c r="AX29" s="106"/>
      <c r="AY29" s="135"/>
      <c r="AZ29" s="135"/>
      <c r="BA29" s="102"/>
      <c r="BB29" s="105" t="str">
        <f>IF(OR(ISBLANK(Term1_Day_8[[#This Row],[Start]]),ISBLANK(Term1_Day_8[[#This Row],[End]])),"",(Term1_Day_8[[#This Row],[End]]-Term1_Day_8[[#This Row],[Start]])*1440)</f>
        <v/>
      </c>
      <c r="BC29" s="105" t="str">
        <f>IF(ISBLANK(Term1_Day_8[[#This Row],[Activity]]),"",IF(_xlfn.XLOOKUP(Term1_Day_8[[#This Row],[Activity]],Types_of_Activity[Type of Activity],Types_of_Activity[Classification])=1,Term1_Day_8[[#This Row],[Elapsed]],0))</f>
        <v/>
      </c>
      <c r="BD29" s="105" t="str">
        <f>IF(ISBLANK(Term1_Day_8[[#This Row],[Activity]]),"",IF(_xlfn.XLOOKUP(Term1_Day_8[[#This Row],[Activity]],Types_of_Activity[Type of Activity],Types_of_Activity[Classification])=2,Term1_Day_8[[#This Row],[Elapsed]],0))</f>
        <v/>
      </c>
      <c r="BE29" s="106"/>
      <c r="BF29" s="135"/>
      <c r="BG29" s="135"/>
      <c r="BH29" s="102"/>
      <c r="BI29" s="105" t="str">
        <f>IF(OR(ISBLANK(Term1_Day_9[[#This Row],[Start]]),ISBLANK(Term1_Day_9[[#This Row],[End]])),"",(Term1_Day_9[[#This Row],[End]]-Term1_Day_9[[#This Row],[Start]])*1440)</f>
        <v/>
      </c>
      <c r="BJ29" s="105" t="str">
        <f>IF(ISBLANK(Term1_Day_9[[#This Row],[Activity]]),"",IF(_xlfn.XLOOKUP(Term1_Day_9[[#This Row],[Activity]],Types_of_Activity[Type of Activity],Types_of_Activity[Classification])=1,Term1_Day_9[[#This Row],[Elapsed]],0))</f>
        <v/>
      </c>
      <c r="BK29" s="105" t="str">
        <f>IF(ISBLANK(Term1_Day_9[[#This Row],[Activity]]),"",IF(_xlfn.XLOOKUP(Term1_Day_9[[#This Row],[Activity]],Types_of_Activity[Type of Activity],Types_of_Activity[Classification])=2,Term1_Day_9[[#This Row],[Elapsed]],0))</f>
        <v/>
      </c>
      <c r="BL29" s="106"/>
      <c r="BM29" s="135"/>
      <c r="BN29" s="135"/>
      <c r="BO29" s="102"/>
      <c r="BP29" s="105" t="str">
        <f>IF(OR(ISBLANK(Term1_Day_10[[#This Row],[Start]]),ISBLANK(Term1_Day_10[[#This Row],[End]])),"",(Term1_Day_10[[#This Row],[End]]-Term1_Day_10[[#This Row],[Start]])*1440)</f>
        <v/>
      </c>
      <c r="BQ29" s="105" t="str">
        <f>IF(ISBLANK(Term1_Day_10[[#This Row],[Activity]]),"",IF(_xlfn.XLOOKUP(Term1_Day_10[[#This Row],[Activity]],Types_of_Activity[Type of Activity],Types_of_Activity[Classification])=1,Term1_Day_10[[#This Row],[Elapsed]],0))</f>
        <v/>
      </c>
      <c r="BR29" s="105" t="str">
        <f>IF(ISBLANK(Term1_Day_10[[#This Row],[Activity]]),"",IF(_xlfn.XLOOKUP(Term1_Day_10[[#This Row],[Activity]],Types_of_Activity[Type of Activity],Types_of_Activity[Classification])=2,Term1_Day_10[[#This Row],[Elapsed]],0))</f>
        <v/>
      </c>
      <c r="BS29" s="106"/>
    </row>
    <row r="30" spans="2:71" x14ac:dyDescent="0.3">
      <c r="B30" s="135"/>
      <c r="C30" s="135"/>
      <c r="D30" s="102"/>
      <c r="E30" s="105" t="str">
        <f>IF(OR(ISBLANK(Term1_Day_1[[#This Row],[Start]]),ISBLANK(Term1_Day_1[[#This Row],[End]])),"",(Term1_Day_1[[#This Row],[End]]-Term1_Day_1[[#This Row],[Start]])*1440)</f>
        <v/>
      </c>
      <c r="F30" s="105" t="str">
        <f>IF(ISBLANK(Term1_Day_1[[#This Row],[Activity]]),"",IF(_xlfn.XLOOKUP(Term1_Day_1[[#This Row],[Activity]],Types_of_Activity[Type of Activity],Types_of_Activity[Classification])=1,Term1_Day_1[[#This Row],[Elapsed]],0))</f>
        <v/>
      </c>
      <c r="G30" s="105" t="str">
        <f>IF(ISBLANK(Term1_Day_1[[#This Row],[Activity]]),"",IF(_xlfn.XLOOKUP(Term1_Day_1[[#This Row],[Activity]],Types_of_Activity[Type of Activity],Types_of_Activity[Classification])=2,Term1_Day_1[[#This Row],[Elapsed]],0))</f>
        <v/>
      </c>
      <c r="I30" s="135"/>
      <c r="J30" s="135"/>
      <c r="K30" s="102"/>
      <c r="L30" s="105" t="str">
        <f>IF(OR(ISBLANK(Term1_Day_2[[#This Row],[Start]]),ISBLANK(Term1_Day_2[[#This Row],[End]])),"",(Term1_Day_2[[#This Row],[End]]-Term1_Day_2[[#This Row],[Start]])*1440)</f>
        <v/>
      </c>
      <c r="M30" s="105" t="str">
        <f>IF(ISBLANK(Term1_Day_2[[#This Row],[Activity]]),"",IF(_xlfn.XLOOKUP(Term1_Day_2[[#This Row],[Activity]],Types_of_Activity[Type of Activity],Types_of_Activity[Classification])=1,Term1_Day_2[[#This Row],[Elapsed]],0))</f>
        <v/>
      </c>
      <c r="N30" s="105" t="str">
        <f>IF(ISBLANK(Term1_Day_2[[#This Row],[Activity]]),"",IF(_xlfn.XLOOKUP(Term1_Day_2[[#This Row],[Activity]],Types_of_Activity[Type of Activity],Types_of_Activity[Classification])=2,Term1_Day_2[[#This Row],[Elapsed]],0))</f>
        <v/>
      </c>
      <c r="P30" s="135"/>
      <c r="Q30" s="135"/>
      <c r="R30" s="102"/>
      <c r="S30" s="105" t="str">
        <f>IF(OR(ISBLANK(Term1_Day_3[[#This Row],[Start]]),ISBLANK(Term1_Day_3[[#This Row],[End]])),"",(Term1_Day_3[[#This Row],[End]]-Term1_Day_3[[#This Row],[Start]])*1440)</f>
        <v/>
      </c>
      <c r="T30" s="105" t="str">
        <f>IF(ISBLANK(Term1_Day_3[[#This Row],[Activity]]),"",IF(_xlfn.XLOOKUP(Term1_Day_3[[#This Row],[Activity]],Types_of_Activity[Type of Activity],Types_of_Activity[Classification])=1,Term1_Day_3[[#This Row],[Elapsed]],0))</f>
        <v/>
      </c>
      <c r="U30" s="105" t="str">
        <f>IF(ISBLANK(Term1_Day_3[[#This Row],[Activity]]),"",IF(_xlfn.XLOOKUP(Term1_Day_3[[#This Row],[Activity]],Types_of_Activity[Type of Activity],Types_of_Activity[Classification])=2,Term1_Day_3[[#This Row],[Elapsed]],0))</f>
        <v/>
      </c>
      <c r="W30" s="135"/>
      <c r="X30" s="135"/>
      <c r="Y30" s="102"/>
      <c r="Z30" s="105" t="str">
        <f>IF(OR(ISBLANK(Term1_Day_4[[#This Row],[Start]]),ISBLANK(Term1_Day_4[[#This Row],[End]])),"",(Term1_Day_4[[#This Row],[End]]-Term1_Day_4[[#This Row],[Start]])*1440)</f>
        <v/>
      </c>
      <c r="AA30" s="105" t="str">
        <f>IF(ISBLANK(Term1_Day_4[[#This Row],[Activity]]),"",IF(_xlfn.XLOOKUP(Term1_Day_4[[#This Row],[Activity]],Types_of_Activity[Type of Activity],Types_of_Activity[Classification])=1,Term1_Day_4[[#This Row],[Elapsed]],0))</f>
        <v/>
      </c>
      <c r="AB30" s="105" t="str">
        <f>IF(ISBLANK(Term1_Day_4[[#This Row],[Activity]]),"",IF(_xlfn.XLOOKUP(Term1_Day_4[[#This Row],[Activity]],Types_of_Activity[Type of Activity],Types_of_Activity[Classification])=2,Term1_Day_4[[#This Row],[Elapsed]],0))</f>
        <v/>
      </c>
      <c r="AD30" s="135"/>
      <c r="AE30" s="135"/>
      <c r="AF30" s="102"/>
      <c r="AG30" s="105" t="str">
        <f>IF(OR(ISBLANK(Term1_Day_5[[#This Row],[Start]]),ISBLANK(Term1_Day_5[[#This Row],[End]])),"",(Term1_Day_5[[#This Row],[End]]-Term1_Day_5[[#This Row],[Start]])*1440)</f>
        <v/>
      </c>
      <c r="AH30" s="105" t="str">
        <f>IF(ISBLANK(Term1_Day_5[[#This Row],[Activity]]),"",IF(_xlfn.XLOOKUP(Term1_Day_5[[#This Row],[Activity]],Types_of_Activity[Type of Activity],Types_of_Activity[Classification])=1,Term1_Day_5[[#This Row],[Elapsed]],0))</f>
        <v/>
      </c>
      <c r="AI30" s="105" t="str">
        <f>IF(ISBLANK(Term1_Day_5[[#This Row],[Activity]]),"",IF(_xlfn.XLOOKUP(Term1_Day_5[[#This Row],[Activity]],Types_of_Activity[Type of Activity],Types_of_Activity[Classification])=2,Term1_Day_5[[#This Row],[Elapsed]],0))</f>
        <v/>
      </c>
      <c r="AJ30" s="106"/>
      <c r="AK30" s="135"/>
      <c r="AL30" s="135"/>
      <c r="AM30" s="102"/>
      <c r="AN30" s="105" t="str">
        <f>IF(OR(ISBLANK(Term1_Day_6[[#This Row],[Start]]),ISBLANK(Term1_Day_6[[#This Row],[End]])),"",(Term1_Day_6[[#This Row],[End]]-Term1_Day_6[[#This Row],[Start]])*1440)</f>
        <v/>
      </c>
      <c r="AO30" s="105" t="str">
        <f>IF(ISBLANK(Term1_Day_6[[#This Row],[Activity]]),"",IF(_xlfn.XLOOKUP(Term1_Day_6[[#This Row],[Activity]],Types_of_Activity[Type of Activity],Types_of_Activity[Classification])=1,Term1_Day_6[[#This Row],[Elapsed]],0))</f>
        <v/>
      </c>
      <c r="AP30" s="105" t="str">
        <f>IF(ISBLANK(Term1_Day_6[[#This Row],[Activity]]),"",IF(_xlfn.XLOOKUP(Term1_Day_6[[#This Row],[Activity]],Types_of_Activity[Type of Activity],Types_of_Activity[Classification])=2,Term1_Day_6[[#This Row],[Elapsed]],0))</f>
        <v/>
      </c>
      <c r="AQ30" s="106"/>
      <c r="AR30" s="135"/>
      <c r="AS30" s="135"/>
      <c r="AT30" s="102"/>
      <c r="AU30" s="105" t="str">
        <f>IF(OR(ISBLANK(Term1_Day_7[[#This Row],[Start]]),ISBLANK(Term1_Day_7[[#This Row],[End]])),"",(Term1_Day_7[[#This Row],[End]]-Term1_Day_7[[#This Row],[Start]])*1440)</f>
        <v/>
      </c>
      <c r="AV30" s="105" t="str">
        <f>IF(ISBLANK(Term1_Day_7[[#This Row],[Activity]]),"",IF(_xlfn.XLOOKUP(Term1_Day_7[[#This Row],[Activity]],Types_of_Activity[Type of Activity],Types_of_Activity[Classification])=1,Term1_Day_7[[#This Row],[Elapsed]],0))</f>
        <v/>
      </c>
      <c r="AW30" s="105" t="str">
        <f>IF(ISBLANK(Term1_Day_7[[#This Row],[Activity]]),"",IF(_xlfn.XLOOKUP(Term1_Day_7[[#This Row],[Activity]],Types_of_Activity[Type of Activity],Types_of_Activity[Classification])=2,Term1_Day_7[[#This Row],[Elapsed]],0))</f>
        <v/>
      </c>
      <c r="AX30" s="106"/>
      <c r="AY30" s="135"/>
      <c r="AZ30" s="135"/>
      <c r="BA30" s="102"/>
      <c r="BB30" s="105" t="str">
        <f>IF(OR(ISBLANK(Term1_Day_8[[#This Row],[Start]]),ISBLANK(Term1_Day_8[[#This Row],[End]])),"",(Term1_Day_8[[#This Row],[End]]-Term1_Day_8[[#This Row],[Start]])*1440)</f>
        <v/>
      </c>
      <c r="BC30" s="105" t="str">
        <f>IF(ISBLANK(Term1_Day_8[[#This Row],[Activity]]),"",IF(_xlfn.XLOOKUP(Term1_Day_8[[#This Row],[Activity]],Types_of_Activity[Type of Activity],Types_of_Activity[Classification])=1,Term1_Day_8[[#This Row],[Elapsed]],0))</f>
        <v/>
      </c>
      <c r="BD30" s="105" t="str">
        <f>IF(ISBLANK(Term1_Day_8[[#This Row],[Activity]]),"",IF(_xlfn.XLOOKUP(Term1_Day_8[[#This Row],[Activity]],Types_of_Activity[Type of Activity],Types_of_Activity[Classification])=2,Term1_Day_8[[#This Row],[Elapsed]],0))</f>
        <v/>
      </c>
      <c r="BE30" s="106"/>
      <c r="BF30" s="135"/>
      <c r="BG30" s="135"/>
      <c r="BH30" s="102"/>
      <c r="BI30" s="105" t="str">
        <f>IF(OR(ISBLANK(Term1_Day_9[[#This Row],[Start]]),ISBLANK(Term1_Day_9[[#This Row],[End]])),"",(Term1_Day_9[[#This Row],[End]]-Term1_Day_9[[#This Row],[Start]])*1440)</f>
        <v/>
      </c>
      <c r="BJ30" s="105" t="str">
        <f>IF(ISBLANK(Term1_Day_9[[#This Row],[Activity]]),"",IF(_xlfn.XLOOKUP(Term1_Day_9[[#This Row],[Activity]],Types_of_Activity[Type of Activity],Types_of_Activity[Classification])=1,Term1_Day_9[[#This Row],[Elapsed]],0))</f>
        <v/>
      </c>
      <c r="BK30" s="105" t="str">
        <f>IF(ISBLANK(Term1_Day_9[[#This Row],[Activity]]),"",IF(_xlfn.XLOOKUP(Term1_Day_9[[#This Row],[Activity]],Types_of_Activity[Type of Activity],Types_of_Activity[Classification])=2,Term1_Day_9[[#This Row],[Elapsed]],0))</f>
        <v/>
      </c>
      <c r="BL30" s="106"/>
      <c r="BM30" s="135"/>
      <c r="BN30" s="135"/>
      <c r="BO30" s="102"/>
      <c r="BP30" s="105" t="str">
        <f>IF(OR(ISBLANK(Term1_Day_10[[#This Row],[Start]]),ISBLANK(Term1_Day_10[[#This Row],[End]])),"",(Term1_Day_10[[#This Row],[End]]-Term1_Day_10[[#This Row],[Start]])*1440)</f>
        <v/>
      </c>
      <c r="BQ30" s="105" t="str">
        <f>IF(ISBLANK(Term1_Day_10[[#This Row],[Activity]]),"",IF(_xlfn.XLOOKUP(Term1_Day_10[[#This Row],[Activity]],Types_of_Activity[Type of Activity],Types_of_Activity[Classification])=1,Term1_Day_10[[#This Row],[Elapsed]],0))</f>
        <v/>
      </c>
      <c r="BR30" s="105" t="str">
        <f>IF(ISBLANK(Term1_Day_10[[#This Row],[Activity]]),"",IF(_xlfn.XLOOKUP(Term1_Day_10[[#This Row],[Activity]],Types_of_Activity[Type of Activity],Types_of_Activity[Classification])=2,Term1_Day_10[[#This Row],[Elapsed]],0))</f>
        <v/>
      </c>
      <c r="BS30" s="106"/>
    </row>
    <row r="31" spans="2:71" x14ac:dyDescent="0.3">
      <c r="B31" s="135"/>
      <c r="C31" s="135"/>
      <c r="D31" s="102"/>
      <c r="E31" s="105" t="str">
        <f>IF(OR(ISBLANK(Term1_Day_1[[#This Row],[Start]]),ISBLANK(Term1_Day_1[[#This Row],[End]])),"",(Term1_Day_1[[#This Row],[End]]-Term1_Day_1[[#This Row],[Start]])*1440)</f>
        <v/>
      </c>
      <c r="F31" s="105" t="str">
        <f>IF(ISBLANK(Term1_Day_1[[#This Row],[Activity]]),"",IF(_xlfn.XLOOKUP(Term1_Day_1[[#This Row],[Activity]],Types_of_Activity[Type of Activity],Types_of_Activity[Classification])=1,Term1_Day_1[[#This Row],[Elapsed]],0))</f>
        <v/>
      </c>
      <c r="G31" s="105" t="str">
        <f>IF(ISBLANK(Term1_Day_1[[#This Row],[Activity]]),"",IF(_xlfn.XLOOKUP(Term1_Day_1[[#This Row],[Activity]],Types_of_Activity[Type of Activity],Types_of_Activity[Classification])=2,Term1_Day_1[[#This Row],[Elapsed]],0))</f>
        <v/>
      </c>
      <c r="I31" s="135"/>
      <c r="J31" s="135"/>
      <c r="K31" s="102"/>
      <c r="L31" s="105" t="str">
        <f>IF(OR(ISBLANK(Term1_Day_2[[#This Row],[Start]]),ISBLANK(Term1_Day_2[[#This Row],[End]])),"",(Term1_Day_2[[#This Row],[End]]-Term1_Day_2[[#This Row],[Start]])*1440)</f>
        <v/>
      </c>
      <c r="M31" s="105" t="str">
        <f>IF(ISBLANK(Term1_Day_2[[#This Row],[Activity]]),"",IF(_xlfn.XLOOKUP(Term1_Day_2[[#This Row],[Activity]],Types_of_Activity[Type of Activity],Types_of_Activity[Classification])=1,Term1_Day_2[[#This Row],[Elapsed]],0))</f>
        <v/>
      </c>
      <c r="N31" s="105" t="str">
        <f>IF(ISBLANK(Term1_Day_2[[#This Row],[Activity]]),"",IF(_xlfn.XLOOKUP(Term1_Day_2[[#This Row],[Activity]],Types_of_Activity[Type of Activity],Types_of_Activity[Classification])=2,Term1_Day_2[[#This Row],[Elapsed]],0))</f>
        <v/>
      </c>
      <c r="P31" s="135"/>
      <c r="Q31" s="135"/>
      <c r="R31" s="102"/>
      <c r="S31" s="105" t="str">
        <f>IF(OR(ISBLANK(Term1_Day_3[[#This Row],[Start]]),ISBLANK(Term1_Day_3[[#This Row],[End]])),"",(Term1_Day_3[[#This Row],[End]]-Term1_Day_3[[#This Row],[Start]])*1440)</f>
        <v/>
      </c>
      <c r="T31" s="105" t="str">
        <f>IF(ISBLANK(Term1_Day_3[[#This Row],[Activity]]),"",IF(_xlfn.XLOOKUP(Term1_Day_3[[#This Row],[Activity]],Types_of_Activity[Type of Activity],Types_of_Activity[Classification])=1,Term1_Day_3[[#This Row],[Elapsed]],0))</f>
        <v/>
      </c>
      <c r="U31" s="105" t="str">
        <f>IF(ISBLANK(Term1_Day_3[[#This Row],[Activity]]),"",IF(_xlfn.XLOOKUP(Term1_Day_3[[#This Row],[Activity]],Types_of_Activity[Type of Activity],Types_of_Activity[Classification])=2,Term1_Day_3[[#This Row],[Elapsed]],0))</f>
        <v/>
      </c>
      <c r="W31" s="135"/>
      <c r="X31" s="135"/>
      <c r="Y31" s="102"/>
      <c r="Z31" s="105" t="str">
        <f>IF(OR(ISBLANK(Term1_Day_4[[#This Row],[Start]]),ISBLANK(Term1_Day_4[[#This Row],[End]])),"",(Term1_Day_4[[#This Row],[End]]-Term1_Day_4[[#This Row],[Start]])*1440)</f>
        <v/>
      </c>
      <c r="AA31" s="105" t="str">
        <f>IF(ISBLANK(Term1_Day_4[[#This Row],[Activity]]),"",IF(_xlfn.XLOOKUP(Term1_Day_4[[#This Row],[Activity]],Types_of_Activity[Type of Activity],Types_of_Activity[Classification])=1,Term1_Day_4[[#This Row],[Elapsed]],0))</f>
        <v/>
      </c>
      <c r="AB31" s="105" t="str">
        <f>IF(ISBLANK(Term1_Day_4[[#This Row],[Activity]]),"",IF(_xlfn.XLOOKUP(Term1_Day_4[[#This Row],[Activity]],Types_of_Activity[Type of Activity],Types_of_Activity[Classification])=2,Term1_Day_4[[#This Row],[Elapsed]],0))</f>
        <v/>
      </c>
      <c r="AD31" s="135"/>
      <c r="AE31" s="135"/>
      <c r="AF31" s="102"/>
      <c r="AG31" s="105" t="str">
        <f>IF(OR(ISBLANK(Term1_Day_5[[#This Row],[Start]]),ISBLANK(Term1_Day_5[[#This Row],[End]])),"",(Term1_Day_5[[#This Row],[End]]-Term1_Day_5[[#This Row],[Start]])*1440)</f>
        <v/>
      </c>
      <c r="AH31" s="105" t="str">
        <f>IF(ISBLANK(Term1_Day_5[[#This Row],[Activity]]),"",IF(_xlfn.XLOOKUP(Term1_Day_5[[#This Row],[Activity]],Types_of_Activity[Type of Activity],Types_of_Activity[Classification])=1,Term1_Day_5[[#This Row],[Elapsed]],0))</f>
        <v/>
      </c>
      <c r="AI31" s="105" t="str">
        <f>IF(ISBLANK(Term1_Day_5[[#This Row],[Activity]]),"",IF(_xlfn.XLOOKUP(Term1_Day_5[[#This Row],[Activity]],Types_of_Activity[Type of Activity],Types_of_Activity[Classification])=2,Term1_Day_5[[#This Row],[Elapsed]],0))</f>
        <v/>
      </c>
      <c r="AJ31" s="106"/>
      <c r="AK31" s="135"/>
      <c r="AL31" s="135"/>
      <c r="AM31" s="102"/>
      <c r="AN31" s="105" t="str">
        <f>IF(OR(ISBLANK(Term1_Day_6[[#This Row],[Start]]),ISBLANK(Term1_Day_6[[#This Row],[End]])),"",(Term1_Day_6[[#This Row],[End]]-Term1_Day_6[[#This Row],[Start]])*1440)</f>
        <v/>
      </c>
      <c r="AO31" s="105" t="str">
        <f>IF(ISBLANK(Term1_Day_6[[#This Row],[Activity]]),"",IF(_xlfn.XLOOKUP(Term1_Day_6[[#This Row],[Activity]],Types_of_Activity[Type of Activity],Types_of_Activity[Classification])=1,Term1_Day_6[[#This Row],[Elapsed]],0))</f>
        <v/>
      </c>
      <c r="AP31" s="105" t="str">
        <f>IF(ISBLANK(Term1_Day_6[[#This Row],[Activity]]),"",IF(_xlfn.XLOOKUP(Term1_Day_6[[#This Row],[Activity]],Types_of_Activity[Type of Activity],Types_of_Activity[Classification])=2,Term1_Day_6[[#This Row],[Elapsed]],0))</f>
        <v/>
      </c>
      <c r="AQ31" s="106"/>
      <c r="AR31" s="135"/>
      <c r="AS31" s="135"/>
      <c r="AT31" s="102"/>
      <c r="AU31" s="105" t="str">
        <f>IF(OR(ISBLANK(Term1_Day_7[[#This Row],[Start]]),ISBLANK(Term1_Day_7[[#This Row],[End]])),"",(Term1_Day_7[[#This Row],[End]]-Term1_Day_7[[#This Row],[Start]])*1440)</f>
        <v/>
      </c>
      <c r="AV31" s="105" t="str">
        <f>IF(ISBLANK(Term1_Day_7[[#This Row],[Activity]]),"",IF(_xlfn.XLOOKUP(Term1_Day_7[[#This Row],[Activity]],Types_of_Activity[Type of Activity],Types_of_Activity[Classification])=1,Term1_Day_7[[#This Row],[Elapsed]],0))</f>
        <v/>
      </c>
      <c r="AW31" s="105" t="str">
        <f>IF(ISBLANK(Term1_Day_7[[#This Row],[Activity]]),"",IF(_xlfn.XLOOKUP(Term1_Day_7[[#This Row],[Activity]],Types_of_Activity[Type of Activity],Types_of_Activity[Classification])=2,Term1_Day_7[[#This Row],[Elapsed]],0))</f>
        <v/>
      </c>
      <c r="AX31" s="106"/>
      <c r="AY31" s="135"/>
      <c r="AZ31" s="135"/>
      <c r="BA31" s="102"/>
      <c r="BB31" s="105" t="str">
        <f>IF(OR(ISBLANK(Term1_Day_8[[#This Row],[Start]]),ISBLANK(Term1_Day_8[[#This Row],[End]])),"",(Term1_Day_8[[#This Row],[End]]-Term1_Day_8[[#This Row],[Start]])*1440)</f>
        <v/>
      </c>
      <c r="BC31" s="105" t="str">
        <f>IF(ISBLANK(Term1_Day_8[[#This Row],[Activity]]),"",IF(_xlfn.XLOOKUP(Term1_Day_8[[#This Row],[Activity]],Types_of_Activity[Type of Activity],Types_of_Activity[Classification])=1,Term1_Day_8[[#This Row],[Elapsed]],0))</f>
        <v/>
      </c>
      <c r="BD31" s="105" t="str">
        <f>IF(ISBLANK(Term1_Day_8[[#This Row],[Activity]]),"",IF(_xlfn.XLOOKUP(Term1_Day_8[[#This Row],[Activity]],Types_of_Activity[Type of Activity],Types_of_Activity[Classification])=2,Term1_Day_8[[#This Row],[Elapsed]],0))</f>
        <v/>
      </c>
      <c r="BE31" s="106"/>
      <c r="BF31" s="135"/>
      <c r="BG31" s="135"/>
      <c r="BH31" s="102"/>
      <c r="BI31" s="105" t="str">
        <f>IF(OR(ISBLANK(Term1_Day_9[[#This Row],[Start]]),ISBLANK(Term1_Day_9[[#This Row],[End]])),"",(Term1_Day_9[[#This Row],[End]]-Term1_Day_9[[#This Row],[Start]])*1440)</f>
        <v/>
      </c>
      <c r="BJ31" s="105" t="str">
        <f>IF(ISBLANK(Term1_Day_9[[#This Row],[Activity]]),"",IF(_xlfn.XLOOKUP(Term1_Day_9[[#This Row],[Activity]],Types_of_Activity[Type of Activity],Types_of_Activity[Classification])=1,Term1_Day_9[[#This Row],[Elapsed]],0))</f>
        <v/>
      </c>
      <c r="BK31" s="105" t="str">
        <f>IF(ISBLANK(Term1_Day_9[[#This Row],[Activity]]),"",IF(_xlfn.XLOOKUP(Term1_Day_9[[#This Row],[Activity]],Types_of_Activity[Type of Activity],Types_of_Activity[Classification])=2,Term1_Day_9[[#This Row],[Elapsed]],0))</f>
        <v/>
      </c>
      <c r="BL31" s="106"/>
      <c r="BM31" s="135"/>
      <c r="BN31" s="135"/>
      <c r="BO31" s="102"/>
      <c r="BP31" s="105" t="str">
        <f>IF(OR(ISBLANK(Term1_Day_10[[#This Row],[Start]]),ISBLANK(Term1_Day_10[[#This Row],[End]])),"",(Term1_Day_10[[#This Row],[End]]-Term1_Day_10[[#This Row],[Start]])*1440)</f>
        <v/>
      </c>
      <c r="BQ31" s="105" t="str">
        <f>IF(ISBLANK(Term1_Day_10[[#This Row],[Activity]]),"",IF(_xlfn.XLOOKUP(Term1_Day_10[[#This Row],[Activity]],Types_of_Activity[Type of Activity],Types_of_Activity[Classification])=1,Term1_Day_10[[#This Row],[Elapsed]],0))</f>
        <v/>
      </c>
      <c r="BR31" s="105" t="str">
        <f>IF(ISBLANK(Term1_Day_10[[#This Row],[Activity]]),"",IF(_xlfn.XLOOKUP(Term1_Day_10[[#This Row],[Activity]],Types_of_Activity[Type of Activity],Types_of_Activity[Classification])=2,Term1_Day_10[[#This Row],[Elapsed]],0))</f>
        <v/>
      </c>
      <c r="BS31" s="106"/>
    </row>
    <row r="32" spans="2:71" x14ac:dyDescent="0.3">
      <c r="B32" s="135"/>
      <c r="C32" s="135"/>
      <c r="D32" s="102"/>
      <c r="E32" s="105" t="str">
        <f>IF(OR(ISBLANK(Term1_Day_1[[#This Row],[Start]]),ISBLANK(Term1_Day_1[[#This Row],[End]])),"",(Term1_Day_1[[#This Row],[End]]-Term1_Day_1[[#This Row],[Start]])*1440)</f>
        <v/>
      </c>
      <c r="F32" s="105" t="str">
        <f>IF(ISBLANK(Term1_Day_1[[#This Row],[Activity]]),"",IF(_xlfn.XLOOKUP(Term1_Day_1[[#This Row],[Activity]],Types_of_Activity[Type of Activity],Types_of_Activity[Classification])=1,Term1_Day_1[[#This Row],[Elapsed]],0))</f>
        <v/>
      </c>
      <c r="G32" s="105" t="str">
        <f>IF(ISBLANK(Term1_Day_1[[#This Row],[Activity]]),"",IF(_xlfn.XLOOKUP(Term1_Day_1[[#This Row],[Activity]],Types_of_Activity[Type of Activity],Types_of_Activity[Classification])=2,Term1_Day_1[[#This Row],[Elapsed]],0))</f>
        <v/>
      </c>
      <c r="I32" s="135"/>
      <c r="J32" s="135"/>
      <c r="K32" s="102"/>
      <c r="L32" s="105" t="str">
        <f>IF(OR(ISBLANK(Term1_Day_2[[#This Row],[Start]]),ISBLANK(Term1_Day_2[[#This Row],[End]])),"",(Term1_Day_2[[#This Row],[End]]-Term1_Day_2[[#This Row],[Start]])*1440)</f>
        <v/>
      </c>
      <c r="M32" s="105" t="str">
        <f>IF(ISBLANK(Term1_Day_2[[#This Row],[Activity]]),"",IF(_xlfn.XLOOKUP(Term1_Day_2[[#This Row],[Activity]],Types_of_Activity[Type of Activity],Types_of_Activity[Classification])=1,Term1_Day_2[[#This Row],[Elapsed]],0))</f>
        <v/>
      </c>
      <c r="N32" s="105" t="str">
        <f>IF(ISBLANK(Term1_Day_2[[#This Row],[Activity]]),"",IF(_xlfn.XLOOKUP(Term1_Day_2[[#This Row],[Activity]],Types_of_Activity[Type of Activity],Types_of_Activity[Classification])=2,Term1_Day_2[[#This Row],[Elapsed]],0))</f>
        <v/>
      </c>
      <c r="P32" s="135"/>
      <c r="Q32" s="135"/>
      <c r="R32" s="102"/>
      <c r="S32" s="105" t="str">
        <f>IF(OR(ISBLANK(Term1_Day_3[[#This Row],[Start]]),ISBLANK(Term1_Day_3[[#This Row],[End]])),"",(Term1_Day_3[[#This Row],[End]]-Term1_Day_3[[#This Row],[Start]])*1440)</f>
        <v/>
      </c>
      <c r="T32" s="105" t="str">
        <f>IF(ISBLANK(Term1_Day_3[[#This Row],[Activity]]),"",IF(_xlfn.XLOOKUP(Term1_Day_3[[#This Row],[Activity]],Types_of_Activity[Type of Activity],Types_of_Activity[Classification])=1,Term1_Day_3[[#This Row],[Elapsed]],0))</f>
        <v/>
      </c>
      <c r="U32" s="105" t="str">
        <f>IF(ISBLANK(Term1_Day_3[[#This Row],[Activity]]),"",IF(_xlfn.XLOOKUP(Term1_Day_3[[#This Row],[Activity]],Types_of_Activity[Type of Activity],Types_of_Activity[Classification])=2,Term1_Day_3[[#This Row],[Elapsed]],0))</f>
        <v/>
      </c>
      <c r="W32" s="135"/>
      <c r="X32" s="135"/>
      <c r="Y32" s="102"/>
      <c r="Z32" s="105" t="str">
        <f>IF(OR(ISBLANK(Term1_Day_4[[#This Row],[Start]]),ISBLANK(Term1_Day_4[[#This Row],[End]])),"",(Term1_Day_4[[#This Row],[End]]-Term1_Day_4[[#This Row],[Start]])*1440)</f>
        <v/>
      </c>
      <c r="AA32" s="105" t="str">
        <f>IF(ISBLANK(Term1_Day_4[[#This Row],[Activity]]),"",IF(_xlfn.XLOOKUP(Term1_Day_4[[#This Row],[Activity]],Types_of_Activity[Type of Activity],Types_of_Activity[Classification])=1,Term1_Day_4[[#This Row],[Elapsed]],0))</f>
        <v/>
      </c>
      <c r="AB32" s="105" t="str">
        <f>IF(ISBLANK(Term1_Day_4[[#This Row],[Activity]]),"",IF(_xlfn.XLOOKUP(Term1_Day_4[[#This Row],[Activity]],Types_of_Activity[Type of Activity],Types_of_Activity[Classification])=2,Term1_Day_4[[#This Row],[Elapsed]],0))</f>
        <v/>
      </c>
      <c r="AD32" s="135"/>
      <c r="AE32" s="135"/>
      <c r="AF32" s="102"/>
      <c r="AG32" s="105" t="str">
        <f>IF(OR(ISBLANK(Term1_Day_5[[#This Row],[Start]]),ISBLANK(Term1_Day_5[[#This Row],[End]])),"",(Term1_Day_5[[#This Row],[End]]-Term1_Day_5[[#This Row],[Start]])*1440)</f>
        <v/>
      </c>
      <c r="AH32" s="105" t="str">
        <f>IF(ISBLANK(Term1_Day_5[[#This Row],[Activity]]),"",IF(_xlfn.XLOOKUP(Term1_Day_5[[#This Row],[Activity]],Types_of_Activity[Type of Activity],Types_of_Activity[Classification])=1,Term1_Day_5[[#This Row],[Elapsed]],0))</f>
        <v/>
      </c>
      <c r="AI32" s="105" t="str">
        <f>IF(ISBLANK(Term1_Day_5[[#This Row],[Activity]]),"",IF(_xlfn.XLOOKUP(Term1_Day_5[[#This Row],[Activity]],Types_of_Activity[Type of Activity],Types_of_Activity[Classification])=2,Term1_Day_5[[#This Row],[Elapsed]],0))</f>
        <v/>
      </c>
      <c r="AJ32" s="106"/>
      <c r="AK32" s="135"/>
      <c r="AL32" s="135"/>
      <c r="AM32" s="102"/>
      <c r="AN32" s="105" t="str">
        <f>IF(OR(ISBLANK(Term1_Day_6[[#This Row],[Start]]),ISBLANK(Term1_Day_6[[#This Row],[End]])),"",(Term1_Day_6[[#This Row],[End]]-Term1_Day_6[[#This Row],[Start]])*1440)</f>
        <v/>
      </c>
      <c r="AO32" s="105" t="str">
        <f>IF(ISBLANK(Term1_Day_6[[#This Row],[Activity]]),"",IF(_xlfn.XLOOKUP(Term1_Day_6[[#This Row],[Activity]],Types_of_Activity[Type of Activity],Types_of_Activity[Classification])=1,Term1_Day_6[[#This Row],[Elapsed]],0))</f>
        <v/>
      </c>
      <c r="AP32" s="105" t="str">
        <f>IF(ISBLANK(Term1_Day_6[[#This Row],[Activity]]),"",IF(_xlfn.XLOOKUP(Term1_Day_6[[#This Row],[Activity]],Types_of_Activity[Type of Activity],Types_of_Activity[Classification])=2,Term1_Day_6[[#This Row],[Elapsed]],0))</f>
        <v/>
      </c>
      <c r="AQ32" s="106"/>
      <c r="AR32" s="135"/>
      <c r="AS32" s="135"/>
      <c r="AT32" s="102"/>
      <c r="AU32" s="105" t="str">
        <f>IF(OR(ISBLANK(Term1_Day_7[[#This Row],[Start]]),ISBLANK(Term1_Day_7[[#This Row],[End]])),"",(Term1_Day_7[[#This Row],[End]]-Term1_Day_7[[#This Row],[Start]])*1440)</f>
        <v/>
      </c>
      <c r="AV32" s="105" t="str">
        <f>IF(ISBLANK(Term1_Day_7[[#This Row],[Activity]]),"",IF(_xlfn.XLOOKUP(Term1_Day_7[[#This Row],[Activity]],Types_of_Activity[Type of Activity],Types_of_Activity[Classification])=1,Term1_Day_7[[#This Row],[Elapsed]],0))</f>
        <v/>
      </c>
      <c r="AW32" s="105" t="str">
        <f>IF(ISBLANK(Term1_Day_7[[#This Row],[Activity]]),"",IF(_xlfn.XLOOKUP(Term1_Day_7[[#This Row],[Activity]],Types_of_Activity[Type of Activity],Types_of_Activity[Classification])=2,Term1_Day_7[[#This Row],[Elapsed]],0))</f>
        <v/>
      </c>
      <c r="AX32" s="106"/>
      <c r="AY32" s="135"/>
      <c r="AZ32" s="135"/>
      <c r="BA32" s="102"/>
      <c r="BB32" s="105" t="str">
        <f>IF(OR(ISBLANK(Term1_Day_8[[#This Row],[Start]]),ISBLANK(Term1_Day_8[[#This Row],[End]])),"",(Term1_Day_8[[#This Row],[End]]-Term1_Day_8[[#This Row],[Start]])*1440)</f>
        <v/>
      </c>
      <c r="BC32" s="105" t="str">
        <f>IF(ISBLANK(Term1_Day_8[[#This Row],[Activity]]),"",IF(_xlfn.XLOOKUP(Term1_Day_8[[#This Row],[Activity]],Types_of_Activity[Type of Activity],Types_of_Activity[Classification])=1,Term1_Day_8[[#This Row],[Elapsed]],0))</f>
        <v/>
      </c>
      <c r="BD32" s="105" t="str">
        <f>IF(ISBLANK(Term1_Day_8[[#This Row],[Activity]]),"",IF(_xlfn.XLOOKUP(Term1_Day_8[[#This Row],[Activity]],Types_of_Activity[Type of Activity],Types_of_Activity[Classification])=2,Term1_Day_8[[#This Row],[Elapsed]],0))</f>
        <v/>
      </c>
      <c r="BE32" s="106"/>
      <c r="BF32" s="135"/>
      <c r="BG32" s="135"/>
      <c r="BH32" s="102"/>
      <c r="BI32" s="105" t="str">
        <f>IF(OR(ISBLANK(Term1_Day_9[[#This Row],[Start]]),ISBLANK(Term1_Day_9[[#This Row],[End]])),"",(Term1_Day_9[[#This Row],[End]]-Term1_Day_9[[#This Row],[Start]])*1440)</f>
        <v/>
      </c>
      <c r="BJ32" s="105" t="str">
        <f>IF(ISBLANK(Term1_Day_9[[#This Row],[Activity]]),"",IF(_xlfn.XLOOKUP(Term1_Day_9[[#This Row],[Activity]],Types_of_Activity[Type of Activity],Types_of_Activity[Classification])=1,Term1_Day_9[[#This Row],[Elapsed]],0))</f>
        <v/>
      </c>
      <c r="BK32" s="105" t="str">
        <f>IF(ISBLANK(Term1_Day_9[[#This Row],[Activity]]),"",IF(_xlfn.XLOOKUP(Term1_Day_9[[#This Row],[Activity]],Types_of_Activity[Type of Activity],Types_of_Activity[Classification])=2,Term1_Day_9[[#This Row],[Elapsed]],0))</f>
        <v/>
      </c>
      <c r="BL32" s="106"/>
      <c r="BM32" s="135"/>
      <c r="BN32" s="135"/>
      <c r="BO32" s="102"/>
      <c r="BP32" s="105" t="str">
        <f>IF(OR(ISBLANK(Term1_Day_10[[#This Row],[Start]]),ISBLANK(Term1_Day_10[[#This Row],[End]])),"",(Term1_Day_10[[#This Row],[End]]-Term1_Day_10[[#This Row],[Start]])*1440)</f>
        <v/>
      </c>
      <c r="BQ32" s="105" t="str">
        <f>IF(ISBLANK(Term1_Day_10[[#This Row],[Activity]]),"",IF(_xlfn.XLOOKUP(Term1_Day_10[[#This Row],[Activity]],Types_of_Activity[Type of Activity],Types_of_Activity[Classification])=1,Term1_Day_10[[#This Row],[Elapsed]],0))</f>
        <v/>
      </c>
      <c r="BR32" s="105" t="str">
        <f>IF(ISBLANK(Term1_Day_10[[#This Row],[Activity]]),"",IF(_xlfn.XLOOKUP(Term1_Day_10[[#This Row],[Activity]],Types_of_Activity[Type of Activity],Types_of_Activity[Classification])=2,Term1_Day_10[[#This Row],[Elapsed]],0))</f>
        <v/>
      </c>
      <c r="BS32" s="106"/>
    </row>
    <row r="33" spans="2:71" x14ac:dyDescent="0.3">
      <c r="B33" s="135"/>
      <c r="C33" s="135"/>
      <c r="D33" s="102"/>
      <c r="E33" s="105" t="str">
        <f>IF(OR(ISBLANK(Term1_Day_1[[#This Row],[Start]]),ISBLANK(Term1_Day_1[[#This Row],[End]])),"",(Term1_Day_1[[#This Row],[End]]-Term1_Day_1[[#This Row],[Start]])*1440)</f>
        <v/>
      </c>
      <c r="F33" s="105" t="str">
        <f>IF(ISBLANK(Term1_Day_1[[#This Row],[Activity]]),"",IF(_xlfn.XLOOKUP(Term1_Day_1[[#This Row],[Activity]],Types_of_Activity[Type of Activity],Types_of_Activity[Classification])=1,Term1_Day_1[[#This Row],[Elapsed]],0))</f>
        <v/>
      </c>
      <c r="G33" s="105" t="str">
        <f>IF(ISBLANK(Term1_Day_1[[#This Row],[Activity]]),"",IF(_xlfn.XLOOKUP(Term1_Day_1[[#This Row],[Activity]],Types_of_Activity[Type of Activity],Types_of_Activity[Classification])=2,Term1_Day_1[[#This Row],[Elapsed]],0))</f>
        <v/>
      </c>
      <c r="I33" s="135"/>
      <c r="J33" s="135"/>
      <c r="K33" s="102"/>
      <c r="L33" s="105" t="str">
        <f>IF(OR(ISBLANK(Term1_Day_2[[#This Row],[Start]]),ISBLANK(Term1_Day_2[[#This Row],[End]])),"",(Term1_Day_2[[#This Row],[End]]-Term1_Day_2[[#This Row],[Start]])*1440)</f>
        <v/>
      </c>
      <c r="M33" s="105" t="str">
        <f>IF(ISBLANK(Term1_Day_2[[#This Row],[Activity]]),"",IF(_xlfn.XLOOKUP(Term1_Day_2[[#This Row],[Activity]],Types_of_Activity[Type of Activity],Types_of_Activity[Classification])=1,Term1_Day_2[[#This Row],[Elapsed]],0))</f>
        <v/>
      </c>
      <c r="N33" s="105" t="str">
        <f>IF(ISBLANK(Term1_Day_2[[#This Row],[Activity]]),"",IF(_xlfn.XLOOKUP(Term1_Day_2[[#This Row],[Activity]],Types_of_Activity[Type of Activity],Types_of_Activity[Classification])=2,Term1_Day_2[[#This Row],[Elapsed]],0))</f>
        <v/>
      </c>
      <c r="P33" s="135"/>
      <c r="Q33" s="135"/>
      <c r="R33" s="102"/>
      <c r="S33" s="105" t="str">
        <f>IF(OR(ISBLANK(Term1_Day_3[[#This Row],[Start]]),ISBLANK(Term1_Day_3[[#This Row],[End]])),"",(Term1_Day_3[[#This Row],[End]]-Term1_Day_3[[#This Row],[Start]])*1440)</f>
        <v/>
      </c>
      <c r="T33" s="105" t="str">
        <f>IF(ISBLANK(Term1_Day_3[[#This Row],[Activity]]),"",IF(_xlfn.XLOOKUP(Term1_Day_3[[#This Row],[Activity]],Types_of_Activity[Type of Activity],Types_of_Activity[Classification])=1,Term1_Day_3[[#This Row],[Elapsed]],0))</f>
        <v/>
      </c>
      <c r="U33" s="105" t="str">
        <f>IF(ISBLANK(Term1_Day_3[[#This Row],[Activity]]),"",IF(_xlfn.XLOOKUP(Term1_Day_3[[#This Row],[Activity]],Types_of_Activity[Type of Activity],Types_of_Activity[Classification])=2,Term1_Day_3[[#This Row],[Elapsed]],0))</f>
        <v/>
      </c>
      <c r="W33" s="135"/>
      <c r="X33" s="135"/>
      <c r="Y33" s="102"/>
      <c r="Z33" s="105" t="str">
        <f>IF(OR(ISBLANK(Term1_Day_4[[#This Row],[Start]]),ISBLANK(Term1_Day_4[[#This Row],[End]])),"",(Term1_Day_4[[#This Row],[End]]-Term1_Day_4[[#This Row],[Start]])*1440)</f>
        <v/>
      </c>
      <c r="AA33" s="105" t="str">
        <f>IF(ISBLANK(Term1_Day_4[[#This Row],[Activity]]),"",IF(_xlfn.XLOOKUP(Term1_Day_4[[#This Row],[Activity]],Types_of_Activity[Type of Activity],Types_of_Activity[Classification])=1,Term1_Day_4[[#This Row],[Elapsed]],0))</f>
        <v/>
      </c>
      <c r="AB33" s="105" t="str">
        <f>IF(ISBLANK(Term1_Day_4[[#This Row],[Activity]]),"",IF(_xlfn.XLOOKUP(Term1_Day_4[[#This Row],[Activity]],Types_of_Activity[Type of Activity],Types_of_Activity[Classification])=2,Term1_Day_4[[#This Row],[Elapsed]],0))</f>
        <v/>
      </c>
      <c r="AD33" s="135"/>
      <c r="AE33" s="135"/>
      <c r="AF33" s="102"/>
      <c r="AG33" s="105" t="str">
        <f>IF(OR(ISBLANK(Term1_Day_5[[#This Row],[Start]]),ISBLANK(Term1_Day_5[[#This Row],[End]])),"",(Term1_Day_5[[#This Row],[End]]-Term1_Day_5[[#This Row],[Start]])*1440)</f>
        <v/>
      </c>
      <c r="AH33" s="105" t="str">
        <f>IF(ISBLANK(Term1_Day_5[[#This Row],[Activity]]),"",IF(_xlfn.XLOOKUP(Term1_Day_5[[#This Row],[Activity]],Types_of_Activity[Type of Activity],Types_of_Activity[Classification])=1,Term1_Day_5[[#This Row],[Elapsed]],0))</f>
        <v/>
      </c>
      <c r="AI33" s="105" t="str">
        <f>IF(ISBLANK(Term1_Day_5[[#This Row],[Activity]]),"",IF(_xlfn.XLOOKUP(Term1_Day_5[[#This Row],[Activity]],Types_of_Activity[Type of Activity],Types_of_Activity[Classification])=2,Term1_Day_5[[#This Row],[Elapsed]],0))</f>
        <v/>
      </c>
      <c r="AJ33" s="106"/>
      <c r="AK33" s="135"/>
      <c r="AL33" s="135"/>
      <c r="AM33" s="102"/>
      <c r="AN33" s="105" t="str">
        <f>IF(OR(ISBLANK(Term1_Day_6[[#This Row],[Start]]),ISBLANK(Term1_Day_6[[#This Row],[End]])),"",(Term1_Day_6[[#This Row],[End]]-Term1_Day_6[[#This Row],[Start]])*1440)</f>
        <v/>
      </c>
      <c r="AO33" s="105" t="str">
        <f>IF(ISBLANK(Term1_Day_6[[#This Row],[Activity]]),"",IF(_xlfn.XLOOKUP(Term1_Day_6[[#This Row],[Activity]],Types_of_Activity[Type of Activity],Types_of_Activity[Classification])=1,Term1_Day_6[[#This Row],[Elapsed]],0))</f>
        <v/>
      </c>
      <c r="AP33" s="105" t="str">
        <f>IF(ISBLANK(Term1_Day_6[[#This Row],[Activity]]),"",IF(_xlfn.XLOOKUP(Term1_Day_6[[#This Row],[Activity]],Types_of_Activity[Type of Activity],Types_of_Activity[Classification])=2,Term1_Day_6[[#This Row],[Elapsed]],0))</f>
        <v/>
      </c>
      <c r="AQ33" s="106"/>
      <c r="AR33" s="135"/>
      <c r="AS33" s="135"/>
      <c r="AT33" s="102"/>
      <c r="AU33" s="105" t="str">
        <f>IF(OR(ISBLANK(Term1_Day_7[[#This Row],[Start]]),ISBLANK(Term1_Day_7[[#This Row],[End]])),"",(Term1_Day_7[[#This Row],[End]]-Term1_Day_7[[#This Row],[Start]])*1440)</f>
        <v/>
      </c>
      <c r="AV33" s="105" t="str">
        <f>IF(ISBLANK(Term1_Day_7[[#This Row],[Activity]]),"",IF(_xlfn.XLOOKUP(Term1_Day_7[[#This Row],[Activity]],Types_of_Activity[Type of Activity],Types_of_Activity[Classification])=1,Term1_Day_7[[#This Row],[Elapsed]],0))</f>
        <v/>
      </c>
      <c r="AW33" s="105" t="str">
        <f>IF(ISBLANK(Term1_Day_7[[#This Row],[Activity]]),"",IF(_xlfn.XLOOKUP(Term1_Day_7[[#This Row],[Activity]],Types_of_Activity[Type of Activity],Types_of_Activity[Classification])=2,Term1_Day_7[[#This Row],[Elapsed]],0))</f>
        <v/>
      </c>
      <c r="AX33" s="106"/>
      <c r="AY33" s="135"/>
      <c r="AZ33" s="135"/>
      <c r="BA33" s="102"/>
      <c r="BB33" s="105" t="str">
        <f>IF(OR(ISBLANK(Term1_Day_8[[#This Row],[Start]]),ISBLANK(Term1_Day_8[[#This Row],[End]])),"",(Term1_Day_8[[#This Row],[End]]-Term1_Day_8[[#This Row],[Start]])*1440)</f>
        <v/>
      </c>
      <c r="BC33" s="105" t="str">
        <f>IF(ISBLANK(Term1_Day_8[[#This Row],[Activity]]),"",IF(_xlfn.XLOOKUP(Term1_Day_8[[#This Row],[Activity]],Types_of_Activity[Type of Activity],Types_of_Activity[Classification])=1,Term1_Day_8[[#This Row],[Elapsed]],0))</f>
        <v/>
      </c>
      <c r="BD33" s="105" t="str">
        <f>IF(ISBLANK(Term1_Day_8[[#This Row],[Activity]]),"",IF(_xlfn.XLOOKUP(Term1_Day_8[[#This Row],[Activity]],Types_of_Activity[Type of Activity],Types_of_Activity[Classification])=2,Term1_Day_8[[#This Row],[Elapsed]],0))</f>
        <v/>
      </c>
      <c r="BE33" s="106"/>
      <c r="BF33" s="135"/>
      <c r="BG33" s="135"/>
      <c r="BH33" s="102"/>
      <c r="BI33" s="105" t="str">
        <f>IF(OR(ISBLANK(Term1_Day_9[[#This Row],[Start]]),ISBLANK(Term1_Day_9[[#This Row],[End]])),"",(Term1_Day_9[[#This Row],[End]]-Term1_Day_9[[#This Row],[Start]])*1440)</f>
        <v/>
      </c>
      <c r="BJ33" s="105" t="str">
        <f>IF(ISBLANK(Term1_Day_9[[#This Row],[Activity]]),"",IF(_xlfn.XLOOKUP(Term1_Day_9[[#This Row],[Activity]],Types_of_Activity[Type of Activity],Types_of_Activity[Classification])=1,Term1_Day_9[[#This Row],[Elapsed]],0))</f>
        <v/>
      </c>
      <c r="BK33" s="105" t="str">
        <f>IF(ISBLANK(Term1_Day_9[[#This Row],[Activity]]),"",IF(_xlfn.XLOOKUP(Term1_Day_9[[#This Row],[Activity]],Types_of_Activity[Type of Activity],Types_of_Activity[Classification])=2,Term1_Day_9[[#This Row],[Elapsed]],0))</f>
        <v/>
      </c>
      <c r="BL33" s="106"/>
      <c r="BM33" s="135"/>
      <c r="BN33" s="135"/>
      <c r="BO33" s="102"/>
      <c r="BP33" s="105" t="str">
        <f>IF(OR(ISBLANK(Term1_Day_10[[#This Row],[Start]]),ISBLANK(Term1_Day_10[[#This Row],[End]])),"",(Term1_Day_10[[#This Row],[End]]-Term1_Day_10[[#This Row],[Start]])*1440)</f>
        <v/>
      </c>
      <c r="BQ33" s="105" t="str">
        <f>IF(ISBLANK(Term1_Day_10[[#This Row],[Activity]]),"",IF(_xlfn.XLOOKUP(Term1_Day_10[[#This Row],[Activity]],Types_of_Activity[Type of Activity],Types_of_Activity[Classification])=1,Term1_Day_10[[#This Row],[Elapsed]],0))</f>
        <v/>
      </c>
      <c r="BR33" s="105" t="str">
        <f>IF(ISBLANK(Term1_Day_10[[#This Row],[Activity]]),"",IF(_xlfn.XLOOKUP(Term1_Day_10[[#This Row],[Activity]],Types_of_Activity[Type of Activity],Types_of_Activity[Classification])=2,Term1_Day_10[[#This Row],[Elapsed]],0))</f>
        <v/>
      </c>
      <c r="BS33" s="106"/>
    </row>
    <row r="34" spans="2:71" x14ac:dyDescent="0.3">
      <c r="B34" s="135"/>
      <c r="C34" s="135"/>
      <c r="D34" s="102"/>
      <c r="E34" s="105" t="str">
        <f>IF(OR(ISBLANK(Term1_Day_1[[#This Row],[Start]]),ISBLANK(Term1_Day_1[[#This Row],[End]])),"",(Term1_Day_1[[#This Row],[End]]-Term1_Day_1[[#This Row],[Start]])*1440)</f>
        <v/>
      </c>
      <c r="F34" s="105" t="str">
        <f>IF(ISBLANK(Term1_Day_1[[#This Row],[Activity]]),"",IF(_xlfn.XLOOKUP(Term1_Day_1[[#This Row],[Activity]],Types_of_Activity[Type of Activity],Types_of_Activity[Classification])=1,Term1_Day_1[[#This Row],[Elapsed]],0))</f>
        <v/>
      </c>
      <c r="G34" s="105" t="str">
        <f>IF(ISBLANK(Term1_Day_1[[#This Row],[Activity]]),"",IF(_xlfn.XLOOKUP(Term1_Day_1[[#This Row],[Activity]],Types_of_Activity[Type of Activity],Types_of_Activity[Classification])=2,Term1_Day_1[[#This Row],[Elapsed]],0))</f>
        <v/>
      </c>
      <c r="I34" s="135"/>
      <c r="J34" s="135"/>
      <c r="K34" s="102"/>
      <c r="L34" s="105" t="str">
        <f>IF(OR(ISBLANK(Term1_Day_2[[#This Row],[Start]]),ISBLANK(Term1_Day_2[[#This Row],[End]])),"",(Term1_Day_2[[#This Row],[End]]-Term1_Day_2[[#This Row],[Start]])*1440)</f>
        <v/>
      </c>
      <c r="M34" s="105" t="str">
        <f>IF(ISBLANK(Term1_Day_2[[#This Row],[Activity]]),"",IF(_xlfn.XLOOKUP(Term1_Day_2[[#This Row],[Activity]],Types_of_Activity[Type of Activity],Types_of_Activity[Classification])=1,Term1_Day_2[[#This Row],[Elapsed]],0))</f>
        <v/>
      </c>
      <c r="N34" s="105" t="str">
        <f>IF(ISBLANK(Term1_Day_2[[#This Row],[Activity]]),"",IF(_xlfn.XLOOKUP(Term1_Day_2[[#This Row],[Activity]],Types_of_Activity[Type of Activity],Types_of_Activity[Classification])=2,Term1_Day_2[[#This Row],[Elapsed]],0))</f>
        <v/>
      </c>
      <c r="P34" s="135"/>
      <c r="Q34" s="135"/>
      <c r="R34" s="102"/>
      <c r="S34" s="105" t="str">
        <f>IF(OR(ISBLANK(Term1_Day_3[[#This Row],[Start]]),ISBLANK(Term1_Day_3[[#This Row],[End]])),"",(Term1_Day_3[[#This Row],[End]]-Term1_Day_3[[#This Row],[Start]])*1440)</f>
        <v/>
      </c>
      <c r="T34" s="105" t="str">
        <f>IF(ISBLANK(Term1_Day_3[[#This Row],[Activity]]),"",IF(_xlfn.XLOOKUP(Term1_Day_3[[#This Row],[Activity]],Types_of_Activity[Type of Activity],Types_of_Activity[Classification])=1,Term1_Day_3[[#This Row],[Elapsed]],0))</f>
        <v/>
      </c>
      <c r="U34" s="105" t="str">
        <f>IF(ISBLANK(Term1_Day_3[[#This Row],[Activity]]),"",IF(_xlfn.XLOOKUP(Term1_Day_3[[#This Row],[Activity]],Types_of_Activity[Type of Activity],Types_of_Activity[Classification])=2,Term1_Day_3[[#This Row],[Elapsed]],0))</f>
        <v/>
      </c>
      <c r="W34" s="135"/>
      <c r="X34" s="135"/>
      <c r="Y34" s="102"/>
      <c r="Z34" s="105" t="str">
        <f>IF(OR(ISBLANK(Term1_Day_4[[#This Row],[Start]]),ISBLANK(Term1_Day_4[[#This Row],[End]])),"",(Term1_Day_4[[#This Row],[End]]-Term1_Day_4[[#This Row],[Start]])*1440)</f>
        <v/>
      </c>
      <c r="AA34" s="105" t="str">
        <f>IF(ISBLANK(Term1_Day_4[[#This Row],[Activity]]),"",IF(_xlfn.XLOOKUP(Term1_Day_4[[#This Row],[Activity]],Types_of_Activity[Type of Activity],Types_of_Activity[Classification])=1,Term1_Day_4[[#This Row],[Elapsed]],0))</f>
        <v/>
      </c>
      <c r="AB34" s="105" t="str">
        <f>IF(ISBLANK(Term1_Day_4[[#This Row],[Activity]]),"",IF(_xlfn.XLOOKUP(Term1_Day_4[[#This Row],[Activity]],Types_of_Activity[Type of Activity],Types_of_Activity[Classification])=2,Term1_Day_4[[#This Row],[Elapsed]],0))</f>
        <v/>
      </c>
      <c r="AD34" s="135"/>
      <c r="AE34" s="135"/>
      <c r="AF34" s="102"/>
      <c r="AG34" s="105" t="str">
        <f>IF(OR(ISBLANK(Term1_Day_5[[#This Row],[Start]]),ISBLANK(Term1_Day_5[[#This Row],[End]])),"",(Term1_Day_5[[#This Row],[End]]-Term1_Day_5[[#This Row],[Start]])*1440)</f>
        <v/>
      </c>
      <c r="AH34" s="105" t="str">
        <f>IF(ISBLANK(Term1_Day_5[[#This Row],[Activity]]),"",IF(_xlfn.XLOOKUP(Term1_Day_5[[#This Row],[Activity]],Types_of_Activity[Type of Activity],Types_of_Activity[Classification])=1,Term1_Day_5[[#This Row],[Elapsed]],0))</f>
        <v/>
      </c>
      <c r="AI34" s="105" t="str">
        <f>IF(ISBLANK(Term1_Day_5[[#This Row],[Activity]]),"",IF(_xlfn.XLOOKUP(Term1_Day_5[[#This Row],[Activity]],Types_of_Activity[Type of Activity],Types_of_Activity[Classification])=2,Term1_Day_5[[#This Row],[Elapsed]],0))</f>
        <v/>
      </c>
      <c r="AJ34" s="106"/>
      <c r="AK34" s="135"/>
      <c r="AL34" s="135"/>
      <c r="AM34" s="102"/>
      <c r="AN34" s="105" t="str">
        <f>IF(OR(ISBLANK(Term1_Day_6[[#This Row],[Start]]),ISBLANK(Term1_Day_6[[#This Row],[End]])),"",(Term1_Day_6[[#This Row],[End]]-Term1_Day_6[[#This Row],[Start]])*1440)</f>
        <v/>
      </c>
      <c r="AO34" s="105" t="str">
        <f>IF(ISBLANK(Term1_Day_6[[#This Row],[Activity]]),"",IF(_xlfn.XLOOKUP(Term1_Day_6[[#This Row],[Activity]],Types_of_Activity[Type of Activity],Types_of_Activity[Classification])=1,Term1_Day_6[[#This Row],[Elapsed]],0))</f>
        <v/>
      </c>
      <c r="AP34" s="105" t="str">
        <f>IF(ISBLANK(Term1_Day_6[[#This Row],[Activity]]),"",IF(_xlfn.XLOOKUP(Term1_Day_6[[#This Row],[Activity]],Types_of_Activity[Type of Activity],Types_of_Activity[Classification])=2,Term1_Day_6[[#This Row],[Elapsed]],0))</f>
        <v/>
      </c>
      <c r="AQ34" s="106"/>
      <c r="AR34" s="135"/>
      <c r="AS34" s="135"/>
      <c r="AT34" s="102"/>
      <c r="AU34" s="105" t="str">
        <f>IF(OR(ISBLANK(Term1_Day_7[[#This Row],[Start]]),ISBLANK(Term1_Day_7[[#This Row],[End]])),"",(Term1_Day_7[[#This Row],[End]]-Term1_Day_7[[#This Row],[Start]])*1440)</f>
        <v/>
      </c>
      <c r="AV34" s="105" t="str">
        <f>IF(ISBLANK(Term1_Day_7[[#This Row],[Activity]]),"",IF(_xlfn.XLOOKUP(Term1_Day_7[[#This Row],[Activity]],Types_of_Activity[Type of Activity],Types_of_Activity[Classification])=1,Term1_Day_7[[#This Row],[Elapsed]],0))</f>
        <v/>
      </c>
      <c r="AW34" s="105" t="str">
        <f>IF(ISBLANK(Term1_Day_7[[#This Row],[Activity]]),"",IF(_xlfn.XLOOKUP(Term1_Day_7[[#This Row],[Activity]],Types_of_Activity[Type of Activity],Types_of_Activity[Classification])=2,Term1_Day_7[[#This Row],[Elapsed]],0))</f>
        <v/>
      </c>
      <c r="AX34" s="106"/>
      <c r="AY34" s="135"/>
      <c r="AZ34" s="135"/>
      <c r="BA34" s="102"/>
      <c r="BB34" s="105" t="str">
        <f>IF(OR(ISBLANK(Term1_Day_8[[#This Row],[Start]]),ISBLANK(Term1_Day_8[[#This Row],[End]])),"",(Term1_Day_8[[#This Row],[End]]-Term1_Day_8[[#This Row],[Start]])*1440)</f>
        <v/>
      </c>
      <c r="BC34" s="105" t="str">
        <f>IF(ISBLANK(Term1_Day_8[[#This Row],[Activity]]),"",IF(_xlfn.XLOOKUP(Term1_Day_8[[#This Row],[Activity]],Types_of_Activity[Type of Activity],Types_of_Activity[Classification])=1,Term1_Day_8[[#This Row],[Elapsed]],0))</f>
        <v/>
      </c>
      <c r="BD34" s="105" t="str">
        <f>IF(ISBLANK(Term1_Day_8[[#This Row],[Activity]]),"",IF(_xlfn.XLOOKUP(Term1_Day_8[[#This Row],[Activity]],Types_of_Activity[Type of Activity],Types_of_Activity[Classification])=2,Term1_Day_8[[#This Row],[Elapsed]],0))</f>
        <v/>
      </c>
      <c r="BE34" s="106"/>
      <c r="BF34" s="135"/>
      <c r="BG34" s="135"/>
      <c r="BH34" s="102"/>
      <c r="BI34" s="105" t="str">
        <f>IF(OR(ISBLANK(Term1_Day_9[[#This Row],[Start]]),ISBLANK(Term1_Day_9[[#This Row],[End]])),"",(Term1_Day_9[[#This Row],[End]]-Term1_Day_9[[#This Row],[Start]])*1440)</f>
        <v/>
      </c>
      <c r="BJ34" s="105" t="str">
        <f>IF(ISBLANK(Term1_Day_9[[#This Row],[Activity]]),"",IF(_xlfn.XLOOKUP(Term1_Day_9[[#This Row],[Activity]],Types_of_Activity[Type of Activity],Types_of_Activity[Classification])=1,Term1_Day_9[[#This Row],[Elapsed]],0))</f>
        <v/>
      </c>
      <c r="BK34" s="105" t="str">
        <f>IF(ISBLANK(Term1_Day_9[[#This Row],[Activity]]),"",IF(_xlfn.XLOOKUP(Term1_Day_9[[#This Row],[Activity]],Types_of_Activity[Type of Activity],Types_of_Activity[Classification])=2,Term1_Day_9[[#This Row],[Elapsed]],0))</f>
        <v/>
      </c>
      <c r="BL34" s="106"/>
      <c r="BM34" s="135"/>
      <c r="BN34" s="135"/>
      <c r="BO34" s="102"/>
      <c r="BP34" s="105" t="str">
        <f>IF(OR(ISBLANK(Term1_Day_10[[#This Row],[Start]]),ISBLANK(Term1_Day_10[[#This Row],[End]])),"",(Term1_Day_10[[#This Row],[End]]-Term1_Day_10[[#This Row],[Start]])*1440)</f>
        <v/>
      </c>
      <c r="BQ34" s="105" t="str">
        <f>IF(ISBLANK(Term1_Day_10[[#This Row],[Activity]]),"",IF(_xlfn.XLOOKUP(Term1_Day_10[[#This Row],[Activity]],Types_of_Activity[Type of Activity],Types_of_Activity[Classification])=1,Term1_Day_10[[#This Row],[Elapsed]],0))</f>
        <v/>
      </c>
      <c r="BR34" s="105" t="str">
        <f>IF(ISBLANK(Term1_Day_10[[#This Row],[Activity]]),"",IF(_xlfn.XLOOKUP(Term1_Day_10[[#This Row],[Activity]],Types_of_Activity[Type of Activity],Types_of_Activity[Classification])=2,Term1_Day_10[[#This Row],[Elapsed]],0))</f>
        <v/>
      </c>
      <c r="BS34" s="106"/>
    </row>
    <row r="35" spans="2:71" x14ac:dyDescent="0.3">
      <c r="B35" s="135"/>
      <c r="C35" s="135"/>
      <c r="D35" s="102"/>
      <c r="E35" s="105" t="str">
        <f>IF(OR(ISBLANK(Term1_Day_1[[#This Row],[Start]]),ISBLANK(Term1_Day_1[[#This Row],[End]])),"",(Term1_Day_1[[#This Row],[End]]-Term1_Day_1[[#This Row],[Start]])*1440)</f>
        <v/>
      </c>
      <c r="F35" s="105" t="str">
        <f>IF(ISBLANK(Term1_Day_1[[#This Row],[Activity]]),"",IF(_xlfn.XLOOKUP(Term1_Day_1[[#This Row],[Activity]],Types_of_Activity[Type of Activity],Types_of_Activity[Classification])=1,Term1_Day_1[[#This Row],[Elapsed]],0))</f>
        <v/>
      </c>
      <c r="G35" s="105" t="str">
        <f>IF(ISBLANK(Term1_Day_1[[#This Row],[Activity]]),"",IF(_xlfn.XLOOKUP(Term1_Day_1[[#This Row],[Activity]],Types_of_Activity[Type of Activity],Types_of_Activity[Classification])=2,Term1_Day_1[[#This Row],[Elapsed]],0))</f>
        <v/>
      </c>
      <c r="I35" s="135"/>
      <c r="J35" s="135"/>
      <c r="K35" s="102"/>
      <c r="L35" s="105" t="str">
        <f>IF(OR(ISBLANK(Term1_Day_2[[#This Row],[Start]]),ISBLANK(Term1_Day_2[[#This Row],[End]])),"",(Term1_Day_2[[#This Row],[End]]-Term1_Day_2[[#This Row],[Start]])*1440)</f>
        <v/>
      </c>
      <c r="M35" s="105" t="str">
        <f>IF(ISBLANK(Term1_Day_2[[#This Row],[Activity]]),"",IF(_xlfn.XLOOKUP(Term1_Day_2[[#This Row],[Activity]],Types_of_Activity[Type of Activity],Types_of_Activity[Classification])=1,Term1_Day_2[[#This Row],[Elapsed]],0))</f>
        <v/>
      </c>
      <c r="N35" s="105" t="str">
        <f>IF(ISBLANK(Term1_Day_2[[#This Row],[Activity]]),"",IF(_xlfn.XLOOKUP(Term1_Day_2[[#This Row],[Activity]],Types_of_Activity[Type of Activity],Types_of_Activity[Classification])=2,Term1_Day_2[[#This Row],[Elapsed]],0))</f>
        <v/>
      </c>
      <c r="P35" s="135"/>
      <c r="Q35" s="135"/>
      <c r="R35" s="102"/>
      <c r="S35" s="105" t="str">
        <f>IF(OR(ISBLANK(Term1_Day_3[[#This Row],[Start]]),ISBLANK(Term1_Day_3[[#This Row],[End]])),"",(Term1_Day_3[[#This Row],[End]]-Term1_Day_3[[#This Row],[Start]])*1440)</f>
        <v/>
      </c>
      <c r="T35" s="105" t="str">
        <f>IF(ISBLANK(Term1_Day_3[[#This Row],[Activity]]),"",IF(_xlfn.XLOOKUP(Term1_Day_3[[#This Row],[Activity]],Types_of_Activity[Type of Activity],Types_of_Activity[Classification])=1,Term1_Day_3[[#This Row],[Elapsed]],0))</f>
        <v/>
      </c>
      <c r="U35" s="105" t="str">
        <f>IF(ISBLANK(Term1_Day_3[[#This Row],[Activity]]),"",IF(_xlfn.XLOOKUP(Term1_Day_3[[#This Row],[Activity]],Types_of_Activity[Type of Activity],Types_of_Activity[Classification])=2,Term1_Day_3[[#This Row],[Elapsed]],0))</f>
        <v/>
      </c>
      <c r="W35" s="135"/>
      <c r="X35" s="135"/>
      <c r="Y35" s="102"/>
      <c r="Z35" s="105" t="str">
        <f>IF(OR(ISBLANK(Term1_Day_4[[#This Row],[Start]]),ISBLANK(Term1_Day_4[[#This Row],[End]])),"",(Term1_Day_4[[#This Row],[End]]-Term1_Day_4[[#This Row],[Start]])*1440)</f>
        <v/>
      </c>
      <c r="AA35" s="105" t="str">
        <f>IF(ISBLANK(Term1_Day_4[[#This Row],[Activity]]),"",IF(_xlfn.XLOOKUP(Term1_Day_4[[#This Row],[Activity]],Types_of_Activity[Type of Activity],Types_of_Activity[Classification])=1,Term1_Day_4[[#This Row],[Elapsed]],0))</f>
        <v/>
      </c>
      <c r="AB35" s="105" t="str">
        <f>IF(ISBLANK(Term1_Day_4[[#This Row],[Activity]]),"",IF(_xlfn.XLOOKUP(Term1_Day_4[[#This Row],[Activity]],Types_of_Activity[Type of Activity],Types_of_Activity[Classification])=2,Term1_Day_4[[#This Row],[Elapsed]],0))</f>
        <v/>
      </c>
      <c r="AD35" s="135"/>
      <c r="AE35" s="135"/>
      <c r="AF35" s="102"/>
      <c r="AG35" s="105" t="str">
        <f>IF(OR(ISBLANK(Term1_Day_5[[#This Row],[Start]]),ISBLANK(Term1_Day_5[[#This Row],[End]])),"",(Term1_Day_5[[#This Row],[End]]-Term1_Day_5[[#This Row],[Start]])*1440)</f>
        <v/>
      </c>
      <c r="AH35" s="105" t="str">
        <f>IF(ISBLANK(Term1_Day_5[[#This Row],[Activity]]),"",IF(_xlfn.XLOOKUP(Term1_Day_5[[#This Row],[Activity]],Types_of_Activity[Type of Activity],Types_of_Activity[Classification])=1,Term1_Day_5[[#This Row],[Elapsed]],0))</f>
        <v/>
      </c>
      <c r="AI35" s="105" t="str">
        <f>IF(ISBLANK(Term1_Day_5[[#This Row],[Activity]]),"",IF(_xlfn.XLOOKUP(Term1_Day_5[[#This Row],[Activity]],Types_of_Activity[Type of Activity],Types_of_Activity[Classification])=2,Term1_Day_5[[#This Row],[Elapsed]],0))</f>
        <v/>
      </c>
      <c r="AJ35" s="106"/>
      <c r="AK35" s="135"/>
      <c r="AL35" s="135"/>
      <c r="AM35" s="102"/>
      <c r="AN35" s="105" t="str">
        <f>IF(OR(ISBLANK(Term1_Day_6[[#This Row],[Start]]),ISBLANK(Term1_Day_6[[#This Row],[End]])),"",(Term1_Day_6[[#This Row],[End]]-Term1_Day_6[[#This Row],[Start]])*1440)</f>
        <v/>
      </c>
      <c r="AO35" s="105" t="str">
        <f>IF(ISBLANK(Term1_Day_6[[#This Row],[Activity]]),"",IF(_xlfn.XLOOKUP(Term1_Day_6[[#This Row],[Activity]],Types_of_Activity[Type of Activity],Types_of_Activity[Classification])=1,Term1_Day_6[[#This Row],[Elapsed]],0))</f>
        <v/>
      </c>
      <c r="AP35" s="105" t="str">
        <f>IF(ISBLANK(Term1_Day_6[[#This Row],[Activity]]),"",IF(_xlfn.XLOOKUP(Term1_Day_6[[#This Row],[Activity]],Types_of_Activity[Type of Activity],Types_of_Activity[Classification])=2,Term1_Day_6[[#This Row],[Elapsed]],0))</f>
        <v/>
      </c>
      <c r="AQ35" s="106"/>
      <c r="AR35" s="135"/>
      <c r="AS35" s="135"/>
      <c r="AT35" s="102"/>
      <c r="AU35" s="105" t="str">
        <f>IF(OR(ISBLANK(Term1_Day_7[[#This Row],[Start]]),ISBLANK(Term1_Day_7[[#This Row],[End]])),"",(Term1_Day_7[[#This Row],[End]]-Term1_Day_7[[#This Row],[Start]])*1440)</f>
        <v/>
      </c>
      <c r="AV35" s="105" t="str">
        <f>IF(ISBLANK(Term1_Day_7[[#This Row],[Activity]]),"",IF(_xlfn.XLOOKUP(Term1_Day_7[[#This Row],[Activity]],Types_of_Activity[Type of Activity],Types_of_Activity[Classification])=1,Term1_Day_7[[#This Row],[Elapsed]],0))</f>
        <v/>
      </c>
      <c r="AW35" s="105" t="str">
        <f>IF(ISBLANK(Term1_Day_7[[#This Row],[Activity]]),"",IF(_xlfn.XLOOKUP(Term1_Day_7[[#This Row],[Activity]],Types_of_Activity[Type of Activity],Types_of_Activity[Classification])=2,Term1_Day_7[[#This Row],[Elapsed]],0))</f>
        <v/>
      </c>
      <c r="AX35" s="106"/>
      <c r="AY35" s="135"/>
      <c r="AZ35" s="135"/>
      <c r="BA35" s="102"/>
      <c r="BB35" s="105" t="str">
        <f>IF(OR(ISBLANK(Term1_Day_8[[#This Row],[Start]]),ISBLANK(Term1_Day_8[[#This Row],[End]])),"",(Term1_Day_8[[#This Row],[End]]-Term1_Day_8[[#This Row],[Start]])*1440)</f>
        <v/>
      </c>
      <c r="BC35" s="105" t="str">
        <f>IF(ISBLANK(Term1_Day_8[[#This Row],[Activity]]),"",IF(_xlfn.XLOOKUP(Term1_Day_8[[#This Row],[Activity]],Types_of_Activity[Type of Activity],Types_of_Activity[Classification])=1,Term1_Day_8[[#This Row],[Elapsed]],0))</f>
        <v/>
      </c>
      <c r="BD35" s="105" t="str">
        <f>IF(ISBLANK(Term1_Day_8[[#This Row],[Activity]]),"",IF(_xlfn.XLOOKUP(Term1_Day_8[[#This Row],[Activity]],Types_of_Activity[Type of Activity],Types_of_Activity[Classification])=2,Term1_Day_8[[#This Row],[Elapsed]],0))</f>
        <v/>
      </c>
      <c r="BE35" s="106"/>
      <c r="BF35" s="135"/>
      <c r="BG35" s="135"/>
      <c r="BH35" s="102"/>
      <c r="BI35" s="105" t="str">
        <f>IF(OR(ISBLANK(Term1_Day_9[[#This Row],[Start]]),ISBLANK(Term1_Day_9[[#This Row],[End]])),"",(Term1_Day_9[[#This Row],[End]]-Term1_Day_9[[#This Row],[Start]])*1440)</f>
        <v/>
      </c>
      <c r="BJ35" s="105" t="str">
        <f>IF(ISBLANK(Term1_Day_9[[#This Row],[Activity]]),"",IF(_xlfn.XLOOKUP(Term1_Day_9[[#This Row],[Activity]],Types_of_Activity[Type of Activity],Types_of_Activity[Classification])=1,Term1_Day_9[[#This Row],[Elapsed]],0))</f>
        <v/>
      </c>
      <c r="BK35" s="105" t="str">
        <f>IF(ISBLANK(Term1_Day_9[[#This Row],[Activity]]),"",IF(_xlfn.XLOOKUP(Term1_Day_9[[#This Row],[Activity]],Types_of_Activity[Type of Activity],Types_of_Activity[Classification])=2,Term1_Day_9[[#This Row],[Elapsed]],0))</f>
        <v/>
      </c>
      <c r="BL35" s="106"/>
      <c r="BM35" s="135"/>
      <c r="BN35" s="135"/>
      <c r="BO35" s="102"/>
      <c r="BP35" s="105" t="str">
        <f>IF(OR(ISBLANK(Term1_Day_10[[#This Row],[Start]]),ISBLANK(Term1_Day_10[[#This Row],[End]])),"",(Term1_Day_10[[#This Row],[End]]-Term1_Day_10[[#This Row],[Start]])*1440)</f>
        <v/>
      </c>
      <c r="BQ35" s="105" t="str">
        <f>IF(ISBLANK(Term1_Day_10[[#This Row],[Activity]]),"",IF(_xlfn.XLOOKUP(Term1_Day_10[[#This Row],[Activity]],Types_of_Activity[Type of Activity],Types_of_Activity[Classification])=1,Term1_Day_10[[#This Row],[Elapsed]],0))</f>
        <v/>
      </c>
      <c r="BR35" s="105" t="str">
        <f>IF(ISBLANK(Term1_Day_10[[#This Row],[Activity]]),"",IF(_xlfn.XLOOKUP(Term1_Day_10[[#This Row],[Activity]],Types_of_Activity[Type of Activity],Types_of_Activity[Classification])=2,Term1_Day_10[[#This Row],[Elapsed]],0))</f>
        <v/>
      </c>
      <c r="BS35" s="106"/>
    </row>
    <row r="36" spans="2:71" x14ac:dyDescent="0.3">
      <c r="B36" s="135"/>
      <c r="C36" s="135"/>
      <c r="D36" s="102"/>
      <c r="E36" s="105" t="str">
        <f>IF(OR(ISBLANK(Term1_Day_1[[#This Row],[Start]]),ISBLANK(Term1_Day_1[[#This Row],[End]])),"",(Term1_Day_1[[#This Row],[End]]-Term1_Day_1[[#This Row],[Start]])*1440)</f>
        <v/>
      </c>
      <c r="F36" s="105" t="str">
        <f>IF(ISBLANK(Term1_Day_1[[#This Row],[Activity]]),"",IF(_xlfn.XLOOKUP(Term1_Day_1[[#This Row],[Activity]],Types_of_Activity[Type of Activity],Types_of_Activity[Classification])=1,Term1_Day_1[[#This Row],[Elapsed]],0))</f>
        <v/>
      </c>
      <c r="G36" s="105" t="str">
        <f>IF(ISBLANK(Term1_Day_1[[#This Row],[Activity]]),"",IF(_xlfn.XLOOKUP(Term1_Day_1[[#This Row],[Activity]],Types_of_Activity[Type of Activity],Types_of_Activity[Classification])=2,Term1_Day_1[[#This Row],[Elapsed]],0))</f>
        <v/>
      </c>
      <c r="I36" s="135"/>
      <c r="J36" s="135"/>
      <c r="K36" s="102"/>
      <c r="L36" s="105" t="str">
        <f>IF(OR(ISBLANK(Term1_Day_2[[#This Row],[Start]]),ISBLANK(Term1_Day_2[[#This Row],[End]])),"",(Term1_Day_2[[#This Row],[End]]-Term1_Day_2[[#This Row],[Start]])*1440)</f>
        <v/>
      </c>
      <c r="M36" s="105" t="str">
        <f>IF(ISBLANK(Term1_Day_2[[#This Row],[Activity]]),"",IF(_xlfn.XLOOKUP(Term1_Day_2[[#This Row],[Activity]],Types_of_Activity[Type of Activity],Types_of_Activity[Classification])=1,Term1_Day_2[[#This Row],[Elapsed]],0))</f>
        <v/>
      </c>
      <c r="N36" s="105" t="str">
        <f>IF(ISBLANK(Term1_Day_2[[#This Row],[Activity]]),"",IF(_xlfn.XLOOKUP(Term1_Day_2[[#This Row],[Activity]],Types_of_Activity[Type of Activity],Types_of_Activity[Classification])=2,Term1_Day_2[[#This Row],[Elapsed]],0))</f>
        <v/>
      </c>
      <c r="P36" s="135"/>
      <c r="Q36" s="135"/>
      <c r="R36" s="102"/>
      <c r="S36" s="105" t="str">
        <f>IF(OR(ISBLANK(Term1_Day_3[[#This Row],[Start]]),ISBLANK(Term1_Day_3[[#This Row],[End]])),"",(Term1_Day_3[[#This Row],[End]]-Term1_Day_3[[#This Row],[Start]])*1440)</f>
        <v/>
      </c>
      <c r="T36" s="105" t="str">
        <f>IF(ISBLANK(Term1_Day_3[[#This Row],[Activity]]),"",IF(_xlfn.XLOOKUP(Term1_Day_3[[#This Row],[Activity]],Types_of_Activity[Type of Activity],Types_of_Activity[Classification])=1,Term1_Day_3[[#This Row],[Elapsed]],0))</f>
        <v/>
      </c>
      <c r="U36" s="105" t="str">
        <f>IF(ISBLANK(Term1_Day_3[[#This Row],[Activity]]),"",IF(_xlfn.XLOOKUP(Term1_Day_3[[#This Row],[Activity]],Types_of_Activity[Type of Activity],Types_of_Activity[Classification])=2,Term1_Day_3[[#This Row],[Elapsed]],0))</f>
        <v/>
      </c>
      <c r="W36" s="135"/>
      <c r="X36" s="135"/>
      <c r="Y36" s="102"/>
      <c r="Z36" s="105" t="str">
        <f>IF(OR(ISBLANK(Term1_Day_4[[#This Row],[Start]]),ISBLANK(Term1_Day_4[[#This Row],[End]])),"",(Term1_Day_4[[#This Row],[End]]-Term1_Day_4[[#This Row],[Start]])*1440)</f>
        <v/>
      </c>
      <c r="AA36" s="105" t="str">
        <f>IF(ISBLANK(Term1_Day_4[[#This Row],[Activity]]),"",IF(_xlfn.XLOOKUP(Term1_Day_4[[#This Row],[Activity]],Types_of_Activity[Type of Activity],Types_of_Activity[Classification])=1,Term1_Day_4[[#This Row],[Elapsed]],0))</f>
        <v/>
      </c>
      <c r="AB36" s="105" t="str">
        <f>IF(ISBLANK(Term1_Day_4[[#This Row],[Activity]]),"",IF(_xlfn.XLOOKUP(Term1_Day_4[[#This Row],[Activity]],Types_of_Activity[Type of Activity],Types_of_Activity[Classification])=2,Term1_Day_4[[#This Row],[Elapsed]],0))</f>
        <v/>
      </c>
      <c r="AD36" s="135"/>
      <c r="AE36" s="135"/>
      <c r="AF36" s="102"/>
      <c r="AG36" s="105" t="str">
        <f>IF(OR(ISBLANK(Term1_Day_5[[#This Row],[Start]]),ISBLANK(Term1_Day_5[[#This Row],[End]])),"",(Term1_Day_5[[#This Row],[End]]-Term1_Day_5[[#This Row],[Start]])*1440)</f>
        <v/>
      </c>
      <c r="AH36" s="105" t="str">
        <f>IF(ISBLANK(Term1_Day_5[[#This Row],[Activity]]),"",IF(_xlfn.XLOOKUP(Term1_Day_5[[#This Row],[Activity]],Types_of_Activity[Type of Activity],Types_of_Activity[Classification])=1,Term1_Day_5[[#This Row],[Elapsed]],0))</f>
        <v/>
      </c>
      <c r="AI36" s="105" t="str">
        <f>IF(ISBLANK(Term1_Day_5[[#This Row],[Activity]]),"",IF(_xlfn.XLOOKUP(Term1_Day_5[[#This Row],[Activity]],Types_of_Activity[Type of Activity],Types_of_Activity[Classification])=2,Term1_Day_5[[#This Row],[Elapsed]],0))</f>
        <v/>
      </c>
      <c r="AJ36" s="106"/>
      <c r="AK36" s="135"/>
      <c r="AL36" s="135"/>
      <c r="AM36" s="102"/>
      <c r="AN36" s="105" t="str">
        <f>IF(OR(ISBLANK(Term1_Day_6[[#This Row],[Start]]),ISBLANK(Term1_Day_6[[#This Row],[End]])),"",(Term1_Day_6[[#This Row],[End]]-Term1_Day_6[[#This Row],[Start]])*1440)</f>
        <v/>
      </c>
      <c r="AO36" s="105" t="str">
        <f>IF(ISBLANK(Term1_Day_6[[#This Row],[Activity]]),"",IF(_xlfn.XLOOKUP(Term1_Day_6[[#This Row],[Activity]],Types_of_Activity[Type of Activity],Types_of_Activity[Classification])=1,Term1_Day_6[[#This Row],[Elapsed]],0))</f>
        <v/>
      </c>
      <c r="AP36" s="105" t="str">
        <f>IF(ISBLANK(Term1_Day_6[[#This Row],[Activity]]),"",IF(_xlfn.XLOOKUP(Term1_Day_6[[#This Row],[Activity]],Types_of_Activity[Type of Activity],Types_of_Activity[Classification])=2,Term1_Day_6[[#This Row],[Elapsed]],0))</f>
        <v/>
      </c>
      <c r="AQ36" s="106"/>
      <c r="AR36" s="135"/>
      <c r="AS36" s="135"/>
      <c r="AT36" s="102"/>
      <c r="AU36" s="105" t="str">
        <f>IF(OR(ISBLANK(Term1_Day_7[[#This Row],[Start]]),ISBLANK(Term1_Day_7[[#This Row],[End]])),"",(Term1_Day_7[[#This Row],[End]]-Term1_Day_7[[#This Row],[Start]])*1440)</f>
        <v/>
      </c>
      <c r="AV36" s="105" t="str">
        <f>IF(ISBLANK(Term1_Day_7[[#This Row],[Activity]]),"",IF(_xlfn.XLOOKUP(Term1_Day_7[[#This Row],[Activity]],Types_of_Activity[Type of Activity],Types_of_Activity[Classification])=1,Term1_Day_7[[#This Row],[Elapsed]],0))</f>
        <v/>
      </c>
      <c r="AW36" s="105" t="str">
        <f>IF(ISBLANK(Term1_Day_7[[#This Row],[Activity]]),"",IF(_xlfn.XLOOKUP(Term1_Day_7[[#This Row],[Activity]],Types_of_Activity[Type of Activity],Types_of_Activity[Classification])=2,Term1_Day_7[[#This Row],[Elapsed]],0))</f>
        <v/>
      </c>
      <c r="AX36" s="106"/>
      <c r="AY36" s="135"/>
      <c r="AZ36" s="135"/>
      <c r="BA36" s="102"/>
      <c r="BB36" s="105" t="str">
        <f>IF(OR(ISBLANK(Term1_Day_8[[#This Row],[Start]]),ISBLANK(Term1_Day_8[[#This Row],[End]])),"",(Term1_Day_8[[#This Row],[End]]-Term1_Day_8[[#This Row],[Start]])*1440)</f>
        <v/>
      </c>
      <c r="BC36" s="105" t="str">
        <f>IF(ISBLANK(Term1_Day_8[[#This Row],[Activity]]),"",IF(_xlfn.XLOOKUP(Term1_Day_8[[#This Row],[Activity]],Types_of_Activity[Type of Activity],Types_of_Activity[Classification])=1,Term1_Day_8[[#This Row],[Elapsed]],0))</f>
        <v/>
      </c>
      <c r="BD36" s="105" t="str">
        <f>IF(ISBLANK(Term1_Day_8[[#This Row],[Activity]]),"",IF(_xlfn.XLOOKUP(Term1_Day_8[[#This Row],[Activity]],Types_of_Activity[Type of Activity],Types_of_Activity[Classification])=2,Term1_Day_8[[#This Row],[Elapsed]],0))</f>
        <v/>
      </c>
      <c r="BE36" s="106"/>
      <c r="BF36" s="135"/>
      <c r="BG36" s="135"/>
      <c r="BH36" s="102"/>
      <c r="BI36" s="105" t="str">
        <f>IF(OR(ISBLANK(Term1_Day_9[[#This Row],[Start]]),ISBLANK(Term1_Day_9[[#This Row],[End]])),"",(Term1_Day_9[[#This Row],[End]]-Term1_Day_9[[#This Row],[Start]])*1440)</f>
        <v/>
      </c>
      <c r="BJ36" s="105" t="str">
        <f>IF(ISBLANK(Term1_Day_9[[#This Row],[Activity]]),"",IF(_xlfn.XLOOKUP(Term1_Day_9[[#This Row],[Activity]],Types_of_Activity[Type of Activity],Types_of_Activity[Classification])=1,Term1_Day_9[[#This Row],[Elapsed]],0))</f>
        <v/>
      </c>
      <c r="BK36" s="105" t="str">
        <f>IF(ISBLANK(Term1_Day_9[[#This Row],[Activity]]),"",IF(_xlfn.XLOOKUP(Term1_Day_9[[#This Row],[Activity]],Types_of_Activity[Type of Activity],Types_of_Activity[Classification])=2,Term1_Day_9[[#This Row],[Elapsed]],0))</f>
        <v/>
      </c>
      <c r="BL36" s="106"/>
      <c r="BM36" s="135"/>
      <c r="BN36" s="135"/>
      <c r="BO36" s="102"/>
      <c r="BP36" s="105" t="str">
        <f>IF(OR(ISBLANK(Term1_Day_10[[#This Row],[Start]]),ISBLANK(Term1_Day_10[[#This Row],[End]])),"",(Term1_Day_10[[#This Row],[End]]-Term1_Day_10[[#This Row],[Start]])*1440)</f>
        <v/>
      </c>
      <c r="BQ36" s="105" t="str">
        <f>IF(ISBLANK(Term1_Day_10[[#This Row],[Activity]]),"",IF(_xlfn.XLOOKUP(Term1_Day_10[[#This Row],[Activity]],Types_of_Activity[Type of Activity],Types_of_Activity[Classification])=1,Term1_Day_10[[#This Row],[Elapsed]],0))</f>
        <v/>
      </c>
      <c r="BR36" s="105" t="str">
        <f>IF(ISBLANK(Term1_Day_10[[#This Row],[Activity]]),"",IF(_xlfn.XLOOKUP(Term1_Day_10[[#This Row],[Activity]],Types_of_Activity[Type of Activity],Types_of_Activity[Classification])=2,Term1_Day_10[[#This Row],[Elapsed]],0))</f>
        <v/>
      </c>
      <c r="BS36" s="106"/>
    </row>
    <row r="37" spans="2:71" x14ac:dyDescent="0.3">
      <c r="B37" s="135"/>
      <c r="C37" s="135"/>
      <c r="D37" s="102"/>
      <c r="E37" s="105" t="str">
        <f>IF(OR(ISBLANK(Term1_Day_1[[#This Row],[Start]]),ISBLANK(Term1_Day_1[[#This Row],[End]])),"",(Term1_Day_1[[#This Row],[End]]-Term1_Day_1[[#This Row],[Start]])*1440)</f>
        <v/>
      </c>
      <c r="F37" s="105" t="str">
        <f>IF(ISBLANK(Term1_Day_1[[#This Row],[Activity]]),"",IF(_xlfn.XLOOKUP(Term1_Day_1[[#This Row],[Activity]],Types_of_Activity[Type of Activity],Types_of_Activity[Classification])=1,Term1_Day_1[[#This Row],[Elapsed]],0))</f>
        <v/>
      </c>
      <c r="G37" s="105" t="str">
        <f>IF(ISBLANK(Term1_Day_1[[#This Row],[Activity]]),"",IF(_xlfn.XLOOKUP(Term1_Day_1[[#This Row],[Activity]],Types_of_Activity[Type of Activity],Types_of_Activity[Classification])=2,Term1_Day_1[[#This Row],[Elapsed]],0))</f>
        <v/>
      </c>
      <c r="I37" s="135"/>
      <c r="J37" s="135"/>
      <c r="K37" s="102"/>
      <c r="L37" s="105" t="str">
        <f>IF(OR(ISBLANK(Term1_Day_2[[#This Row],[Start]]),ISBLANK(Term1_Day_2[[#This Row],[End]])),"",(Term1_Day_2[[#This Row],[End]]-Term1_Day_2[[#This Row],[Start]])*1440)</f>
        <v/>
      </c>
      <c r="M37" s="105" t="str">
        <f>IF(ISBLANK(Term1_Day_2[[#This Row],[Activity]]),"",IF(_xlfn.XLOOKUP(Term1_Day_2[[#This Row],[Activity]],Types_of_Activity[Type of Activity],Types_of_Activity[Classification])=1,Term1_Day_2[[#This Row],[Elapsed]],0))</f>
        <v/>
      </c>
      <c r="N37" s="105" t="str">
        <f>IF(ISBLANK(Term1_Day_2[[#This Row],[Activity]]),"",IF(_xlfn.XLOOKUP(Term1_Day_2[[#This Row],[Activity]],Types_of_Activity[Type of Activity],Types_of_Activity[Classification])=2,Term1_Day_2[[#This Row],[Elapsed]],0))</f>
        <v/>
      </c>
      <c r="P37" s="135"/>
      <c r="Q37" s="135"/>
      <c r="R37" s="102"/>
      <c r="S37" s="105" t="str">
        <f>IF(OR(ISBLANK(Term1_Day_3[[#This Row],[Start]]),ISBLANK(Term1_Day_3[[#This Row],[End]])),"",(Term1_Day_3[[#This Row],[End]]-Term1_Day_3[[#This Row],[Start]])*1440)</f>
        <v/>
      </c>
      <c r="T37" s="105" t="str">
        <f>IF(ISBLANK(Term1_Day_3[[#This Row],[Activity]]),"",IF(_xlfn.XLOOKUP(Term1_Day_3[[#This Row],[Activity]],Types_of_Activity[Type of Activity],Types_of_Activity[Classification])=1,Term1_Day_3[[#This Row],[Elapsed]],0))</f>
        <v/>
      </c>
      <c r="U37" s="105" t="str">
        <f>IF(ISBLANK(Term1_Day_3[[#This Row],[Activity]]),"",IF(_xlfn.XLOOKUP(Term1_Day_3[[#This Row],[Activity]],Types_of_Activity[Type of Activity],Types_of_Activity[Classification])=2,Term1_Day_3[[#This Row],[Elapsed]],0))</f>
        <v/>
      </c>
      <c r="W37" s="135"/>
      <c r="X37" s="135"/>
      <c r="Y37" s="102"/>
      <c r="Z37" s="105" t="str">
        <f>IF(OR(ISBLANK(Term1_Day_4[[#This Row],[Start]]),ISBLANK(Term1_Day_4[[#This Row],[End]])),"",(Term1_Day_4[[#This Row],[End]]-Term1_Day_4[[#This Row],[Start]])*1440)</f>
        <v/>
      </c>
      <c r="AA37" s="105" t="str">
        <f>IF(ISBLANK(Term1_Day_4[[#This Row],[Activity]]),"",IF(_xlfn.XLOOKUP(Term1_Day_4[[#This Row],[Activity]],Types_of_Activity[Type of Activity],Types_of_Activity[Classification])=1,Term1_Day_4[[#This Row],[Elapsed]],0))</f>
        <v/>
      </c>
      <c r="AB37" s="105" t="str">
        <f>IF(ISBLANK(Term1_Day_4[[#This Row],[Activity]]),"",IF(_xlfn.XLOOKUP(Term1_Day_4[[#This Row],[Activity]],Types_of_Activity[Type of Activity],Types_of_Activity[Classification])=2,Term1_Day_4[[#This Row],[Elapsed]],0))</f>
        <v/>
      </c>
      <c r="AD37" s="135"/>
      <c r="AE37" s="135"/>
      <c r="AF37" s="102"/>
      <c r="AG37" s="105" t="str">
        <f>IF(OR(ISBLANK(Term1_Day_5[[#This Row],[Start]]),ISBLANK(Term1_Day_5[[#This Row],[End]])),"",(Term1_Day_5[[#This Row],[End]]-Term1_Day_5[[#This Row],[Start]])*1440)</f>
        <v/>
      </c>
      <c r="AH37" s="105" t="str">
        <f>IF(ISBLANK(Term1_Day_5[[#This Row],[Activity]]),"",IF(_xlfn.XLOOKUP(Term1_Day_5[[#This Row],[Activity]],Types_of_Activity[Type of Activity],Types_of_Activity[Classification])=1,Term1_Day_5[[#This Row],[Elapsed]],0))</f>
        <v/>
      </c>
      <c r="AI37" s="105" t="str">
        <f>IF(ISBLANK(Term1_Day_5[[#This Row],[Activity]]),"",IF(_xlfn.XLOOKUP(Term1_Day_5[[#This Row],[Activity]],Types_of_Activity[Type of Activity],Types_of_Activity[Classification])=2,Term1_Day_5[[#This Row],[Elapsed]],0))</f>
        <v/>
      </c>
      <c r="AJ37" s="106"/>
      <c r="AK37" s="135"/>
      <c r="AL37" s="135"/>
      <c r="AM37" s="102"/>
      <c r="AN37" s="105" t="str">
        <f>IF(OR(ISBLANK(Term1_Day_6[[#This Row],[Start]]),ISBLANK(Term1_Day_6[[#This Row],[End]])),"",(Term1_Day_6[[#This Row],[End]]-Term1_Day_6[[#This Row],[Start]])*1440)</f>
        <v/>
      </c>
      <c r="AO37" s="105" t="str">
        <f>IF(ISBLANK(Term1_Day_6[[#This Row],[Activity]]),"",IF(_xlfn.XLOOKUP(Term1_Day_6[[#This Row],[Activity]],Types_of_Activity[Type of Activity],Types_of_Activity[Classification])=1,Term1_Day_6[[#This Row],[Elapsed]],0))</f>
        <v/>
      </c>
      <c r="AP37" s="105" t="str">
        <f>IF(ISBLANK(Term1_Day_6[[#This Row],[Activity]]),"",IF(_xlfn.XLOOKUP(Term1_Day_6[[#This Row],[Activity]],Types_of_Activity[Type of Activity],Types_of_Activity[Classification])=2,Term1_Day_6[[#This Row],[Elapsed]],0))</f>
        <v/>
      </c>
      <c r="AQ37" s="106"/>
      <c r="AR37" s="135"/>
      <c r="AS37" s="135"/>
      <c r="AT37" s="102"/>
      <c r="AU37" s="105" t="str">
        <f>IF(OR(ISBLANK(Term1_Day_7[[#This Row],[Start]]),ISBLANK(Term1_Day_7[[#This Row],[End]])),"",(Term1_Day_7[[#This Row],[End]]-Term1_Day_7[[#This Row],[Start]])*1440)</f>
        <v/>
      </c>
      <c r="AV37" s="105" t="str">
        <f>IF(ISBLANK(Term1_Day_7[[#This Row],[Activity]]),"",IF(_xlfn.XLOOKUP(Term1_Day_7[[#This Row],[Activity]],Types_of_Activity[Type of Activity],Types_of_Activity[Classification])=1,Term1_Day_7[[#This Row],[Elapsed]],0))</f>
        <v/>
      </c>
      <c r="AW37" s="105" t="str">
        <f>IF(ISBLANK(Term1_Day_7[[#This Row],[Activity]]),"",IF(_xlfn.XLOOKUP(Term1_Day_7[[#This Row],[Activity]],Types_of_Activity[Type of Activity],Types_of_Activity[Classification])=2,Term1_Day_7[[#This Row],[Elapsed]],0))</f>
        <v/>
      </c>
      <c r="AX37" s="106"/>
      <c r="AY37" s="135"/>
      <c r="AZ37" s="135"/>
      <c r="BA37" s="102"/>
      <c r="BB37" s="105" t="str">
        <f>IF(OR(ISBLANK(Term1_Day_8[[#This Row],[Start]]),ISBLANK(Term1_Day_8[[#This Row],[End]])),"",(Term1_Day_8[[#This Row],[End]]-Term1_Day_8[[#This Row],[Start]])*1440)</f>
        <v/>
      </c>
      <c r="BC37" s="105" t="str">
        <f>IF(ISBLANK(Term1_Day_8[[#This Row],[Activity]]),"",IF(_xlfn.XLOOKUP(Term1_Day_8[[#This Row],[Activity]],Types_of_Activity[Type of Activity],Types_of_Activity[Classification])=1,Term1_Day_8[[#This Row],[Elapsed]],0))</f>
        <v/>
      </c>
      <c r="BD37" s="105" t="str">
        <f>IF(ISBLANK(Term1_Day_8[[#This Row],[Activity]]),"",IF(_xlfn.XLOOKUP(Term1_Day_8[[#This Row],[Activity]],Types_of_Activity[Type of Activity],Types_of_Activity[Classification])=2,Term1_Day_8[[#This Row],[Elapsed]],0))</f>
        <v/>
      </c>
      <c r="BE37" s="106"/>
      <c r="BF37" s="135"/>
      <c r="BG37" s="135"/>
      <c r="BH37" s="102"/>
      <c r="BI37" s="105" t="str">
        <f>IF(OR(ISBLANK(Term1_Day_9[[#This Row],[Start]]),ISBLANK(Term1_Day_9[[#This Row],[End]])),"",(Term1_Day_9[[#This Row],[End]]-Term1_Day_9[[#This Row],[Start]])*1440)</f>
        <v/>
      </c>
      <c r="BJ37" s="105" t="str">
        <f>IF(ISBLANK(Term1_Day_9[[#This Row],[Activity]]),"",IF(_xlfn.XLOOKUP(Term1_Day_9[[#This Row],[Activity]],Types_of_Activity[Type of Activity],Types_of_Activity[Classification])=1,Term1_Day_9[[#This Row],[Elapsed]],0))</f>
        <v/>
      </c>
      <c r="BK37" s="105" t="str">
        <f>IF(ISBLANK(Term1_Day_9[[#This Row],[Activity]]),"",IF(_xlfn.XLOOKUP(Term1_Day_9[[#This Row],[Activity]],Types_of_Activity[Type of Activity],Types_of_Activity[Classification])=2,Term1_Day_9[[#This Row],[Elapsed]],0))</f>
        <v/>
      </c>
      <c r="BL37" s="106"/>
      <c r="BM37" s="135"/>
      <c r="BN37" s="135"/>
      <c r="BO37" s="102"/>
      <c r="BP37" s="105" t="str">
        <f>IF(OR(ISBLANK(Term1_Day_10[[#This Row],[Start]]),ISBLANK(Term1_Day_10[[#This Row],[End]])),"",(Term1_Day_10[[#This Row],[End]]-Term1_Day_10[[#This Row],[Start]])*1440)</f>
        <v/>
      </c>
      <c r="BQ37" s="105" t="str">
        <f>IF(ISBLANK(Term1_Day_10[[#This Row],[Activity]]),"",IF(_xlfn.XLOOKUP(Term1_Day_10[[#This Row],[Activity]],Types_of_Activity[Type of Activity],Types_of_Activity[Classification])=1,Term1_Day_10[[#This Row],[Elapsed]],0))</f>
        <v/>
      </c>
      <c r="BR37" s="105" t="str">
        <f>IF(ISBLANK(Term1_Day_10[[#This Row],[Activity]]),"",IF(_xlfn.XLOOKUP(Term1_Day_10[[#This Row],[Activity]],Types_of_Activity[Type of Activity],Types_of_Activity[Classification])=2,Term1_Day_10[[#This Row],[Elapsed]],0))</f>
        <v/>
      </c>
      <c r="BS37" s="106"/>
    </row>
    <row r="38" spans="2:71" x14ac:dyDescent="0.3">
      <c r="B38" s="135"/>
      <c r="C38" s="135"/>
      <c r="D38" s="102"/>
      <c r="E38" s="105" t="str">
        <f>IF(OR(ISBLANK(Term1_Day_1[[#This Row],[Start]]),ISBLANK(Term1_Day_1[[#This Row],[End]])),"",(Term1_Day_1[[#This Row],[End]]-Term1_Day_1[[#This Row],[Start]])*1440)</f>
        <v/>
      </c>
      <c r="F38" s="105" t="str">
        <f>IF(ISBLANK(Term1_Day_1[[#This Row],[Activity]]),"",IF(_xlfn.XLOOKUP(Term1_Day_1[[#This Row],[Activity]],Types_of_Activity[Type of Activity],Types_of_Activity[Classification])=1,Term1_Day_1[[#This Row],[Elapsed]],0))</f>
        <v/>
      </c>
      <c r="G38" s="105" t="str">
        <f>IF(ISBLANK(Term1_Day_1[[#This Row],[Activity]]),"",IF(_xlfn.XLOOKUP(Term1_Day_1[[#This Row],[Activity]],Types_of_Activity[Type of Activity],Types_of_Activity[Classification])=2,Term1_Day_1[[#This Row],[Elapsed]],0))</f>
        <v/>
      </c>
      <c r="I38" s="135"/>
      <c r="J38" s="135"/>
      <c r="K38" s="102"/>
      <c r="L38" s="105" t="str">
        <f>IF(OR(ISBLANK(Term1_Day_2[[#This Row],[Start]]),ISBLANK(Term1_Day_2[[#This Row],[End]])),"",(Term1_Day_2[[#This Row],[End]]-Term1_Day_2[[#This Row],[Start]])*1440)</f>
        <v/>
      </c>
      <c r="M38" s="105" t="str">
        <f>IF(ISBLANK(Term1_Day_2[[#This Row],[Activity]]),"",IF(_xlfn.XLOOKUP(Term1_Day_2[[#This Row],[Activity]],Types_of_Activity[Type of Activity],Types_of_Activity[Classification])=1,Term1_Day_2[[#This Row],[Elapsed]],0))</f>
        <v/>
      </c>
      <c r="N38" s="105" t="str">
        <f>IF(ISBLANK(Term1_Day_2[[#This Row],[Activity]]),"",IF(_xlfn.XLOOKUP(Term1_Day_2[[#This Row],[Activity]],Types_of_Activity[Type of Activity],Types_of_Activity[Classification])=2,Term1_Day_2[[#This Row],[Elapsed]],0))</f>
        <v/>
      </c>
      <c r="P38" s="135"/>
      <c r="Q38" s="135"/>
      <c r="R38" s="102"/>
      <c r="S38" s="105" t="str">
        <f>IF(OR(ISBLANK(Term1_Day_3[[#This Row],[Start]]),ISBLANK(Term1_Day_3[[#This Row],[End]])),"",(Term1_Day_3[[#This Row],[End]]-Term1_Day_3[[#This Row],[Start]])*1440)</f>
        <v/>
      </c>
      <c r="T38" s="105" t="str">
        <f>IF(ISBLANK(Term1_Day_3[[#This Row],[Activity]]),"",IF(_xlfn.XLOOKUP(Term1_Day_3[[#This Row],[Activity]],Types_of_Activity[Type of Activity],Types_of_Activity[Classification])=1,Term1_Day_3[[#This Row],[Elapsed]],0))</f>
        <v/>
      </c>
      <c r="U38" s="105" t="str">
        <f>IF(ISBLANK(Term1_Day_3[[#This Row],[Activity]]),"",IF(_xlfn.XLOOKUP(Term1_Day_3[[#This Row],[Activity]],Types_of_Activity[Type of Activity],Types_of_Activity[Classification])=2,Term1_Day_3[[#This Row],[Elapsed]],0))</f>
        <v/>
      </c>
      <c r="W38" s="135"/>
      <c r="X38" s="135"/>
      <c r="Y38" s="102"/>
      <c r="Z38" s="105" t="str">
        <f>IF(OR(ISBLANK(Term1_Day_4[[#This Row],[Start]]),ISBLANK(Term1_Day_4[[#This Row],[End]])),"",(Term1_Day_4[[#This Row],[End]]-Term1_Day_4[[#This Row],[Start]])*1440)</f>
        <v/>
      </c>
      <c r="AA38" s="105" t="str">
        <f>IF(ISBLANK(Term1_Day_4[[#This Row],[Activity]]),"",IF(_xlfn.XLOOKUP(Term1_Day_4[[#This Row],[Activity]],Types_of_Activity[Type of Activity],Types_of_Activity[Classification])=1,Term1_Day_4[[#This Row],[Elapsed]],0))</f>
        <v/>
      </c>
      <c r="AB38" s="105" t="str">
        <f>IF(ISBLANK(Term1_Day_4[[#This Row],[Activity]]),"",IF(_xlfn.XLOOKUP(Term1_Day_4[[#This Row],[Activity]],Types_of_Activity[Type of Activity],Types_of_Activity[Classification])=2,Term1_Day_4[[#This Row],[Elapsed]],0))</f>
        <v/>
      </c>
      <c r="AD38" s="135"/>
      <c r="AE38" s="135"/>
      <c r="AF38" s="102"/>
      <c r="AG38" s="105" t="str">
        <f>IF(OR(ISBLANK(Term1_Day_5[[#This Row],[Start]]),ISBLANK(Term1_Day_5[[#This Row],[End]])),"",(Term1_Day_5[[#This Row],[End]]-Term1_Day_5[[#This Row],[Start]])*1440)</f>
        <v/>
      </c>
      <c r="AH38" s="105" t="str">
        <f>IF(ISBLANK(Term1_Day_5[[#This Row],[Activity]]),"",IF(_xlfn.XLOOKUP(Term1_Day_5[[#This Row],[Activity]],Types_of_Activity[Type of Activity],Types_of_Activity[Classification])=1,Term1_Day_5[[#This Row],[Elapsed]],0))</f>
        <v/>
      </c>
      <c r="AI38" s="105" t="str">
        <f>IF(ISBLANK(Term1_Day_5[[#This Row],[Activity]]),"",IF(_xlfn.XLOOKUP(Term1_Day_5[[#This Row],[Activity]],Types_of_Activity[Type of Activity],Types_of_Activity[Classification])=2,Term1_Day_5[[#This Row],[Elapsed]],0))</f>
        <v/>
      </c>
      <c r="AJ38" s="106"/>
      <c r="AK38" s="135"/>
      <c r="AL38" s="135"/>
      <c r="AM38" s="102"/>
      <c r="AN38" s="105" t="str">
        <f>IF(OR(ISBLANK(Term1_Day_6[[#This Row],[Start]]),ISBLANK(Term1_Day_6[[#This Row],[End]])),"",(Term1_Day_6[[#This Row],[End]]-Term1_Day_6[[#This Row],[Start]])*1440)</f>
        <v/>
      </c>
      <c r="AO38" s="105" t="str">
        <f>IF(ISBLANK(Term1_Day_6[[#This Row],[Activity]]),"",IF(_xlfn.XLOOKUP(Term1_Day_6[[#This Row],[Activity]],Types_of_Activity[Type of Activity],Types_of_Activity[Classification])=1,Term1_Day_6[[#This Row],[Elapsed]],0))</f>
        <v/>
      </c>
      <c r="AP38" s="105" t="str">
        <f>IF(ISBLANK(Term1_Day_6[[#This Row],[Activity]]),"",IF(_xlfn.XLOOKUP(Term1_Day_6[[#This Row],[Activity]],Types_of_Activity[Type of Activity],Types_of_Activity[Classification])=2,Term1_Day_6[[#This Row],[Elapsed]],0))</f>
        <v/>
      </c>
      <c r="AQ38" s="106"/>
      <c r="AR38" s="135"/>
      <c r="AS38" s="135"/>
      <c r="AT38" s="102"/>
      <c r="AU38" s="105" t="str">
        <f>IF(OR(ISBLANK(Term1_Day_7[[#This Row],[Start]]),ISBLANK(Term1_Day_7[[#This Row],[End]])),"",(Term1_Day_7[[#This Row],[End]]-Term1_Day_7[[#This Row],[Start]])*1440)</f>
        <v/>
      </c>
      <c r="AV38" s="105" t="str">
        <f>IF(ISBLANK(Term1_Day_7[[#This Row],[Activity]]),"",IF(_xlfn.XLOOKUP(Term1_Day_7[[#This Row],[Activity]],Types_of_Activity[Type of Activity],Types_of_Activity[Classification])=1,Term1_Day_7[[#This Row],[Elapsed]],0))</f>
        <v/>
      </c>
      <c r="AW38" s="105" t="str">
        <f>IF(ISBLANK(Term1_Day_7[[#This Row],[Activity]]),"",IF(_xlfn.XLOOKUP(Term1_Day_7[[#This Row],[Activity]],Types_of_Activity[Type of Activity],Types_of_Activity[Classification])=2,Term1_Day_7[[#This Row],[Elapsed]],0))</f>
        <v/>
      </c>
      <c r="AX38" s="106"/>
      <c r="AY38" s="135"/>
      <c r="AZ38" s="135"/>
      <c r="BA38" s="102"/>
      <c r="BB38" s="105" t="str">
        <f>IF(OR(ISBLANK(Term1_Day_8[[#This Row],[Start]]),ISBLANK(Term1_Day_8[[#This Row],[End]])),"",(Term1_Day_8[[#This Row],[End]]-Term1_Day_8[[#This Row],[Start]])*1440)</f>
        <v/>
      </c>
      <c r="BC38" s="105" t="str">
        <f>IF(ISBLANK(Term1_Day_8[[#This Row],[Activity]]),"",IF(_xlfn.XLOOKUP(Term1_Day_8[[#This Row],[Activity]],Types_of_Activity[Type of Activity],Types_of_Activity[Classification])=1,Term1_Day_8[[#This Row],[Elapsed]],0))</f>
        <v/>
      </c>
      <c r="BD38" s="105" t="str">
        <f>IF(ISBLANK(Term1_Day_8[[#This Row],[Activity]]),"",IF(_xlfn.XLOOKUP(Term1_Day_8[[#This Row],[Activity]],Types_of_Activity[Type of Activity],Types_of_Activity[Classification])=2,Term1_Day_8[[#This Row],[Elapsed]],0))</f>
        <v/>
      </c>
      <c r="BE38" s="106"/>
      <c r="BF38" s="135"/>
      <c r="BG38" s="135"/>
      <c r="BH38" s="102"/>
      <c r="BI38" s="105" t="str">
        <f>IF(OR(ISBLANK(Term1_Day_9[[#This Row],[Start]]),ISBLANK(Term1_Day_9[[#This Row],[End]])),"",(Term1_Day_9[[#This Row],[End]]-Term1_Day_9[[#This Row],[Start]])*1440)</f>
        <v/>
      </c>
      <c r="BJ38" s="105" t="str">
        <f>IF(ISBLANK(Term1_Day_9[[#This Row],[Activity]]),"",IF(_xlfn.XLOOKUP(Term1_Day_9[[#This Row],[Activity]],Types_of_Activity[Type of Activity],Types_of_Activity[Classification])=1,Term1_Day_9[[#This Row],[Elapsed]],0))</f>
        <v/>
      </c>
      <c r="BK38" s="105" t="str">
        <f>IF(ISBLANK(Term1_Day_9[[#This Row],[Activity]]),"",IF(_xlfn.XLOOKUP(Term1_Day_9[[#This Row],[Activity]],Types_of_Activity[Type of Activity],Types_of_Activity[Classification])=2,Term1_Day_9[[#This Row],[Elapsed]],0))</f>
        <v/>
      </c>
      <c r="BL38" s="106"/>
      <c r="BM38" s="135"/>
      <c r="BN38" s="135"/>
      <c r="BO38" s="102"/>
      <c r="BP38" s="105" t="str">
        <f>IF(OR(ISBLANK(Term1_Day_10[[#This Row],[Start]]),ISBLANK(Term1_Day_10[[#This Row],[End]])),"",(Term1_Day_10[[#This Row],[End]]-Term1_Day_10[[#This Row],[Start]])*1440)</f>
        <v/>
      </c>
      <c r="BQ38" s="105" t="str">
        <f>IF(ISBLANK(Term1_Day_10[[#This Row],[Activity]]),"",IF(_xlfn.XLOOKUP(Term1_Day_10[[#This Row],[Activity]],Types_of_Activity[Type of Activity],Types_of_Activity[Classification])=1,Term1_Day_10[[#This Row],[Elapsed]],0))</f>
        <v/>
      </c>
      <c r="BR38" s="105" t="str">
        <f>IF(ISBLANK(Term1_Day_10[[#This Row],[Activity]]),"",IF(_xlfn.XLOOKUP(Term1_Day_10[[#This Row],[Activity]],Types_of_Activity[Type of Activity],Types_of_Activity[Classification])=2,Term1_Day_10[[#This Row],[Elapsed]],0))</f>
        <v/>
      </c>
      <c r="BS38" s="106"/>
    </row>
    <row r="39" spans="2:71" x14ac:dyDescent="0.3">
      <c r="B39" s="135"/>
      <c r="C39" s="135"/>
      <c r="D39" s="102"/>
      <c r="E39" s="105" t="str">
        <f>IF(OR(ISBLANK(Term1_Day_1[[#This Row],[Start]]),ISBLANK(Term1_Day_1[[#This Row],[End]])),"",(Term1_Day_1[[#This Row],[End]]-Term1_Day_1[[#This Row],[Start]])*1440)</f>
        <v/>
      </c>
      <c r="F39" s="105" t="str">
        <f>IF(ISBLANK(Term1_Day_1[[#This Row],[Activity]]),"",IF(_xlfn.XLOOKUP(Term1_Day_1[[#This Row],[Activity]],Types_of_Activity[Type of Activity],Types_of_Activity[Classification])=1,Term1_Day_1[[#This Row],[Elapsed]],0))</f>
        <v/>
      </c>
      <c r="G39" s="105" t="str">
        <f>IF(ISBLANK(Term1_Day_1[[#This Row],[Activity]]),"",IF(_xlfn.XLOOKUP(Term1_Day_1[[#This Row],[Activity]],Types_of_Activity[Type of Activity],Types_of_Activity[Classification])=2,Term1_Day_1[[#This Row],[Elapsed]],0))</f>
        <v/>
      </c>
      <c r="I39" s="135"/>
      <c r="J39" s="135"/>
      <c r="K39" s="102"/>
      <c r="L39" s="105" t="str">
        <f>IF(OR(ISBLANK(Term1_Day_2[[#This Row],[Start]]),ISBLANK(Term1_Day_2[[#This Row],[End]])),"",(Term1_Day_2[[#This Row],[End]]-Term1_Day_2[[#This Row],[Start]])*1440)</f>
        <v/>
      </c>
      <c r="M39" s="105" t="str">
        <f>IF(ISBLANK(Term1_Day_2[[#This Row],[Activity]]),"",IF(_xlfn.XLOOKUP(Term1_Day_2[[#This Row],[Activity]],Types_of_Activity[Type of Activity],Types_of_Activity[Classification])=1,Term1_Day_2[[#This Row],[Elapsed]],0))</f>
        <v/>
      </c>
      <c r="N39" s="105" t="str">
        <f>IF(ISBLANK(Term1_Day_2[[#This Row],[Activity]]),"",IF(_xlfn.XLOOKUP(Term1_Day_2[[#This Row],[Activity]],Types_of_Activity[Type of Activity],Types_of_Activity[Classification])=2,Term1_Day_2[[#This Row],[Elapsed]],0))</f>
        <v/>
      </c>
      <c r="P39" s="135"/>
      <c r="Q39" s="135"/>
      <c r="R39" s="102"/>
      <c r="S39" s="105" t="str">
        <f>IF(OR(ISBLANK(Term1_Day_3[[#This Row],[Start]]),ISBLANK(Term1_Day_3[[#This Row],[End]])),"",(Term1_Day_3[[#This Row],[End]]-Term1_Day_3[[#This Row],[Start]])*1440)</f>
        <v/>
      </c>
      <c r="T39" s="105" t="str">
        <f>IF(ISBLANK(Term1_Day_3[[#This Row],[Activity]]),"",IF(_xlfn.XLOOKUP(Term1_Day_3[[#This Row],[Activity]],Types_of_Activity[Type of Activity],Types_of_Activity[Classification])=1,Term1_Day_3[[#This Row],[Elapsed]],0))</f>
        <v/>
      </c>
      <c r="U39" s="105" t="str">
        <f>IF(ISBLANK(Term1_Day_3[[#This Row],[Activity]]),"",IF(_xlfn.XLOOKUP(Term1_Day_3[[#This Row],[Activity]],Types_of_Activity[Type of Activity],Types_of_Activity[Classification])=2,Term1_Day_3[[#This Row],[Elapsed]],0))</f>
        <v/>
      </c>
      <c r="W39" s="135"/>
      <c r="X39" s="135"/>
      <c r="Y39" s="102"/>
      <c r="Z39" s="105" t="str">
        <f>IF(OR(ISBLANK(Term1_Day_4[[#This Row],[Start]]),ISBLANK(Term1_Day_4[[#This Row],[End]])),"",(Term1_Day_4[[#This Row],[End]]-Term1_Day_4[[#This Row],[Start]])*1440)</f>
        <v/>
      </c>
      <c r="AA39" s="105" t="str">
        <f>IF(ISBLANK(Term1_Day_4[[#This Row],[Activity]]),"",IF(_xlfn.XLOOKUP(Term1_Day_4[[#This Row],[Activity]],Types_of_Activity[Type of Activity],Types_of_Activity[Classification])=1,Term1_Day_4[[#This Row],[Elapsed]],0))</f>
        <v/>
      </c>
      <c r="AB39" s="105" t="str">
        <f>IF(ISBLANK(Term1_Day_4[[#This Row],[Activity]]),"",IF(_xlfn.XLOOKUP(Term1_Day_4[[#This Row],[Activity]],Types_of_Activity[Type of Activity],Types_of_Activity[Classification])=2,Term1_Day_4[[#This Row],[Elapsed]],0))</f>
        <v/>
      </c>
      <c r="AD39" s="135"/>
      <c r="AE39" s="135"/>
      <c r="AF39" s="102"/>
      <c r="AG39" s="105" t="str">
        <f>IF(OR(ISBLANK(Term1_Day_5[[#This Row],[Start]]),ISBLANK(Term1_Day_5[[#This Row],[End]])),"",(Term1_Day_5[[#This Row],[End]]-Term1_Day_5[[#This Row],[Start]])*1440)</f>
        <v/>
      </c>
      <c r="AH39" s="105" t="str">
        <f>IF(ISBLANK(Term1_Day_5[[#This Row],[Activity]]),"",IF(_xlfn.XLOOKUP(Term1_Day_5[[#This Row],[Activity]],Types_of_Activity[Type of Activity],Types_of_Activity[Classification])=1,Term1_Day_5[[#This Row],[Elapsed]],0))</f>
        <v/>
      </c>
      <c r="AI39" s="105" t="str">
        <f>IF(ISBLANK(Term1_Day_5[[#This Row],[Activity]]),"",IF(_xlfn.XLOOKUP(Term1_Day_5[[#This Row],[Activity]],Types_of_Activity[Type of Activity],Types_of_Activity[Classification])=2,Term1_Day_5[[#This Row],[Elapsed]],0))</f>
        <v/>
      </c>
      <c r="AJ39" s="106"/>
      <c r="AK39" s="135"/>
      <c r="AL39" s="135"/>
      <c r="AM39" s="102"/>
      <c r="AN39" s="105" t="str">
        <f>IF(OR(ISBLANK(Term1_Day_6[[#This Row],[Start]]),ISBLANK(Term1_Day_6[[#This Row],[End]])),"",(Term1_Day_6[[#This Row],[End]]-Term1_Day_6[[#This Row],[Start]])*1440)</f>
        <v/>
      </c>
      <c r="AO39" s="105" t="str">
        <f>IF(ISBLANK(Term1_Day_6[[#This Row],[Activity]]),"",IF(_xlfn.XLOOKUP(Term1_Day_6[[#This Row],[Activity]],Types_of_Activity[Type of Activity],Types_of_Activity[Classification])=1,Term1_Day_6[[#This Row],[Elapsed]],0))</f>
        <v/>
      </c>
      <c r="AP39" s="105" t="str">
        <f>IF(ISBLANK(Term1_Day_6[[#This Row],[Activity]]),"",IF(_xlfn.XLOOKUP(Term1_Day_6[[#This Row],[Activity]],Types_of_Activity[Type of Activity],Types_of_Activity[Classification])=2,Term1_Day_6[[#This Row],[Elapsed]],0))</f>
        <v/>
      </c>
      <c r="AQ39" s="106"/>
      <c r="AR39" s="135"/>
      <c r="AS39" s="135"/>
      <c r="AT39" s="102"/>
      <c r="AU39" s="105" t="str">
        <f>IF(OR(ISBLANK(Term1_Day_7[[#This Row],[Start]]),ISBLANK(Term1_Day_7[[#This Row],[End]])),"",(Term1_Day_7[[#This Row],[End]]-Term1_Day_7[[#This Row],[Start]])*1440)</f>
        <v/>
      </c>
      <c r="AV39" s="105" t="str">
        <f>IF(ISBLANK(Term1_Day_7[[#This Row],[Activity]]),"",IF(_xlfn.XLOOKUP(Term1_Day_7[[#This Row],[Activity]],Types_of_Activity[Type of Activity],Types_of_Activity[Classification])=1,Term1_Day_7[[#This Row],[Elapsed]],0))</f>
        <v/>
      </c>
      <c r="AW39" s="105" t="str">
        <f>IF(ISBLANK(Term1_Day_7[[#This Row],[Activity]]),"",IF(_xlfn.XLOOKUP(Term1_Day_7[[#This Row],[Activity]],Types_of_Activity[Type of Activity],Types_of_Activity[Classification])=2,Term1_Day_7[[#This Row],[Elapsed]],0))</f>
        <v/>
      </c>
      <c r="AX39" s="106"/>
      <c r="AY39" s="135"/>
      <c r="AZ39" s="135"/>
      <c r="BA39" s="102"/>
      <c r="BB39" s="105" t="str">
        <f>IF(OR(ISBLANK(Term1_Day_8[[#This Row],[Start]]),ISBLANK(Term1_Day_8[[#This Row],[End]])),"",(Term1_Day_8[[#This Row],[End]]-Term1_Day_8[[#This Row],[Start]])*1440)</f>
        <v/>
      </c>
      <c r="BC39" s="105" t="str">
        <f>IF(ISBLANK(Term1_Day_8[[#This Row],[Activity]]),"",IF(_xlfn.XLOOKUP(Term1_Day_8[[#This Row],[Activity]],Types_of_Activity[Type of Activity],Types_of_Activity[Classification])=1,Term1_Day_8[[#This Row],[Elapsed]],0))</f>
        <v/>
      </c>
      <c r="BD39" s="105" t="str">
        <f>IF(ISBLANK(Term1_Day_8[[#This Row],[Activity]]),"",IF(_xlfn.XLOOKUP(Term1_Day_8[[#This Row],[Activity]],Types_of_Activity[Type of Activity],Types_of_Activity[Classification])=2,Term1_Day_8[[#This Row],[Elapsed]],0))</f>
        <v/>
      </c>
      <c r="BE39" s="106"/>
      <c r="BF39" s="135"/>
      <c r="BG39" s="135"/>
      <c r="BH39" s="102"/>
      <c r="BI39" s="105" t="str">
        <f>IF(OR(ISBLANK(Term1_Day_9[[#This Row],[Start]]),ISBLANK(Term1_Day_9[[#This Row],[End]])),"",(Term1_Day_9[[#This Row],[End]]-Term1_Day_9[[#This Row],[Start]])*1440)</f>
        <v/>
      </c>
      <c r="BJ39" s="105" t="str">
        <f>IF(ISBLANK(Term1_Day_9[[#This Row],[Activity]]),"",IF(_xlfn.XLOOKUP(Term1_Day_9[[#This Row],[Activity]],Types_of_Activity[Type of Activity],Types_of_Activity[Classification])=1,Term1_Day_9[[#This Row],[Elapsed]],0))</f>
        <v/>
      </c>
      <c r="BK39" s="105" t="str">
        <f>IF(ISBLANK(Term1_Day_9[[#This Row],[Activity]]),"",IF(_xlfn.XLOOKUP(Term1_Day_9[[#This Row],[Activity]],Types_of_Activity[Type of Activity],Types_of_Activity[Classification])=2,Term1_Day_9[[#This Row],[Elapsed]],0))</f>
        <v/>
      </c>
      <c r="BL39" s="106"/>
      <c r="BM39" s="135"/>
      <c r="BN39" s="135"/>
      <c r="BO39" s="102"/>
      <c r="BP39" s="105" t="str">
        <f>IF(OR(ISBLANK(Term1_Day_10[[#This Row],[Start]]),ISBLANK(Term1_Day_10[[#This Row],[End]])),"",(Term1_Day_10[[#This Row],[End]]-Term1_Day_10[[#This Row],[Start]])*1440)</f>
        <v/>
      </c>
      <c r="BQ39" s="105" t="str">
        <f>IF(ISBLANK(Term1_Day_10[[#This Row],[Activity]]),"",IF(_xlfn.XLOOKUP(Term1_Day_10[[#This Row],[Activity]],Types_of_Activity[Type of Activity],Types_of_Activity[Classification])=1,Term1_Day_10[[#This Row],[Elapsed]],0))</f>
        <v/>
      </c>
      <c r="BR39" s="105" t="str">
        <f>IF(ISBLANK(Term1_Day_10[[#This Row],[Activity]]),"",IF(_xlfn.XLOOKUP(Term1_Day_10[[#This Row],[Activity]],Types_of_Activity[Type of Activity],Types_of_Activity[Classification])=2,Term1_Day_10[[#This Row],[Elapsed]],0))</f>
        <v/>
      </c>
      <c r="BS39" s="106"/>
    </row>
    <row r="40" spans="2:71" x14ac:dyDescent="0.3">
      <c r="B40" s="135"/>
      <c r="C40" s="135"/>
      <c r="D40" s="102"/>
      <c r="E40" s="105" t="str">
        <f>IF(OR(ISBLANK(Term1_Day_1[[#This Row],[Start]]),ISBLANK(Term1_Day_1[[#This Row],[End]])),"",(Term1_Day_1[[#This Row],[End]]-Term1_Day_1[[#This Row],[Start]])*1440)</f>
        <v/>
      </c>
      <c r="F40" s="105" t="str">
        <f>IF(ISBLANK(Term1_Day_1[[#This Row],[Activity]]),"",IF(_xlfn.XLOOKUP(Term1_Day_1[[#This Row],[Activity]],Types_of_Activity[Type of Activity],Types_of_Activity[Classification])=1,Term1_Day_1[[#This Row],[Elapsed]],0))</f>
        <v/>
      </c>
      <c r="G40" s="105" t="str">
        <f>IF(ISBLANK(Term1_Day_1[[#This Row],[Activity]]),"",IF(_xlfn.XLOOKUP(Term1_Day_1[[#This Row],[Activity]],Types_of_Activity[Type of Activity],Types_of_Activity[Classification])=2,Term1_Day_1[[#This Row],[Elapsed]],0))</f>
        <v/>
      </c>
      <c r="I40" s="135"/>
      <c r="J40" s="135"/>
      <c r="K40" s="102"/>
      <c r="L40" s="105" t="str">
        <f>IF(OR(ISBLANK(Term1_Day_2[[#This Row],[Start]]),ISBLANK(Term1_Day_2[[#This Row],[End]])),"",(Term1_Day_2[[#This Row],[End]]-Term1_Day_2[[#This Row],[Start]])*1440)</f>
        <v/>
      </c>
      <c r="M40" s="105" t="str">
        <f>IF(ISBLANK(Term1_Day_2[[#This Row],[Activity]]),"",IF(_xlfn.XLOOKUP(Term1_Day_2[[#This Row],[Activity]],Types_of_Activity[Type of Activity],Types_of_Activity[Classification])=1,Term1_Day_2[[#This Row],[Elapsed]],0))</f>
        <v/>
      </c>
      <c r="N40" s="105" t="str">
        <f>IF(ISBLANK(Term1_Day_2[[#This Row],[Activity]]),"",IF(_xlfn.XLOOKUP(Term1_Day_2[[#This Row],[Activity]],Types_of_Activity[Type of Activity],Types_of_Activity[Classification])=2,Term1_Day_2[[#This Row],[Elapsed]],0))</f>
        <v/>
      </c>
      <c r="P40" s="135"/>
      <c r="Q40" s="135"/>
      <c r="R40" s="102"/>
      <c r="S40" s="105" t="str">
        <f>IF(OR(ISBLANK(Term1_Day_3[[#This Row],[Start]]),ISBLANK(Term1_Day_3[[#This Row],[End]])),"",(Term1_Day_3[[#This Row],[End]]-Term1_Day_3[[#This Row],[Start]])*1440)</f>
        <v/>
      </c>
      <c r="T40" s="105" t="str">
        <f>IF(ISBLANK(Term1_Day_3[[#This Row],[Activity]]),"",IF(_xlfn.XLOOKUP(Term1_Day_3[[#This Row],[Activity]],Types_of_Activity[Type of Activity],Types_of_Activity[Classification])=1,Term1_Day_3[[#This Row],[Elapsed]],0))</f>
        <v/>
      </c>
      <c r="U40" s="105" t="str">
        <f>IF(ISBLANK(Term1_Day_3[[#This Row],[Activity]]),"",IF(_xlfn.XLOOKUP(Term1_Day_3[[#This Row],[Activity]],Types_of_Activity[Type of Activity],Types_of_Activity[Classification])=2,Term1_Day_3[[#This Row],[Elapsed]],0))</f>
        <v/>
      </c>
      <c r="W40" s="135"/>
      <c r="X40" s="135"/>
      <c r="Y40" s="102"/>
      <c r="Z40" s="105" t="str">
        <f>IF(OR(ISBLANK(Term1_Day_4[[#This Row],[Start]]),ISBLANK(Term1_Day_4[[#This Row],[End]])),"",(Term1_Day_4[[#This Row],[End]]-Term1_Day_4[[#This Row],[Start]])*1440)</f>
        <v/>
      </c>
      <c r="AA40" s="105" t="str">
        <f>IF(ISBLANK(Term1_Day_4[[#This Row],[Activity]]),"",IF(_xlfn.XLOOKUP(Term1_Day_4[[#This Row],[Activity]],Types_of_Activity[Type of Activity],Types_of_Activity[Classification])=1,Term1_Day_4[[#This Row],[Elapsed]],0))</f>
        <v/>
      </c>
      <c r="AB40" s="105" t="str">
        <f>IF(ISBLANK(Term1_Day_4[[#This Row],[Activity]]),"",IF(_xlfn.XLOOKUP(Term1_Day_4[[#This Row],[Activity]],Types_of_Activity[Type of Activity],Types_of_Activity[Classification])=2,Term1_Day_4[[#This Row],[Elapsed]],0))</f>
        <v/>
      </c>
      <c r="AD40" s="135"/>
      <c r="AE40" s="135"/>
      <c r="AF40" s="102"/>
      <c r="AG40" s="105" t="str">
        <f>IF(OR(ISBLANK(Term1_Day_5[[#This Row],[Start]]),ISBLANK(Term1_Day_5[[#This Row],[End]])),"",(Term1_Day_5[[#This Row],[End]]-Term1_Day_5[[#This Row],[Start]])*1440)</f>
        <v/>
      </c>
      <c r="AH40" s="105" t="str">
        <f>IF(ISBLANK(Term1_Day_5[[#This Row],[Activity]]),"",IF(_xlfn.XLOOKUP(Term1_Day_5[[#This Row],[Activity]],Types_of_Activity[Type of Activity],Types_of_Activity[Classification])=1,Term1_Day_5[[#This Row],[Elapsed]],0))</f>
        <v/>
      </c>
      <c r="AI40" s="105" t="str">
        <f>IF(ISBLANK(Term1_Day_5[[#This Row],[Activity]]),"",IF(_xlfn.XLOOKUP(Term1_Day_5[[#This Row],[Activity]],Types_of_Activity[Type of Activity],Types_of_Activity[Classification])=2,Term1_Day_5[[#This Row],[Elapsed]],0))</f>
        <v/>
      </c>
      <c r="AJ40" s="106"/>
      <c r="AK40" s="135"/>
      <c r="AL40" s="135"/>
      <c r="AM40" s="102"/>
      <c r="AN40" s="105" t="str">
        <f>IF(OR(ISBLANK(Term1_Day_6[[#This Row],[Start]]),ISBLANK(Term1_Day_6[[#This Row],[End]])),"",(Term1_Day_6[[#This Row],[End]]-Term1_Day_6[[#This Row],[Start]])*1440)</f>
        <v/>
      </c>
      <c r="AO40" s="105" t="str">
        <f>IF(ISBLANK(Term1_Day_6[[#This Row],[Activity]]),"",IF(_xlfn.XLOOKUP(Term1_Day_6[[#This Row],[Activity]],Types_of_Activity[Type of Activity],Types_of_Activity[Classification])=1,Term1_Day_6[[#This Row],[Elapsed]],0))</f>
        <v/>
      </c>
      <c r="AP40" s="105" t="str">
        <f>IF(ISBLANK(Term1_Day_6[[#This Row],[Activity]]),"",IF(_xlfn.XLOOKUP(Term1_Day_6[[#This Row],[Activity]],Types_of_Activity[Type of Activity],Types_of_Activity[Classification])=2,Term1_Day_6[[#This Row],[Elapsed]],0))</f>
        <v/>
      </c>
      <c r="AQ40" s="106"/>
      <c r="AR40" s="135"/>
      <c r="AS40" s="135"/>
      <c r="AT40" s="102"/>
      <c r="AU40" s="105" t="str">
        <f>IF(OR(ISBLANK(Term1_Day_7[[#This Row],[Start]]),ISBLANK(Term1_Day_7[[#This Row],[End]])),"",(Term1_Day_7[[#This Row],[End]]-Term1_Day_7[[#This Row],[Start]])*1440)</f>
        <v/>
      </c>
      <c r="AV40" s="105" t="str">
        <f>IF(ISBLANK(Term1_Day_7[[#This Row],[Activity]]),"",IF(_xlfn.XLOOKUP(Term1_Day_7[[#This Row],[Activity]],Types_of_Activity[Type of Activity],Types_of_Activity[Classification])=1,Term1_Day_7[[#This Row],[Elapsed]],0))</f>
        <v/>
      </c>
      <c r="AW40" s="105" t="str">
        <f>IF(ISBLANK(Term1_Day_7[[#This Row],[Activity]]),"",IF(_xlfn.XLOOKUP(Term1_Day_7[[#This Row],[Activity]],Types_of_Activity[Type of Activity],Types_of_Activity[Classification])=2,Term1_Day_7[[#This Row],[Elapsed]],0))</f>
        <v/>
      </c>
      <c r="AX40" s="106"/>
      <c r="AY40" s="135"/>
      <c r="AZ40" s="135"/>
      <c r="BA40" s="102"/>
      <c r="BB40" s="105" t="str">
        <f>IF(OR(ISBLANK(Term1_Day_8[[#This Row],[Start]]),ISBLANK(Term1_Day_8[[#This Row],[End]])),"",(Term1_Day_8[[#This Row],[End]]-Term1_Day_8[[#This Row],[Start]])*1440)</f>
        <v/>
      </c>
      <c r="BC40" s="105" t="str">
        <f>IF(ISBLANK(Term1_Day_8[[#This Row],[Activity]]),"",IF(_xlfn.XLOOKUP(Term1_Day_8[[#This Row],[Activity]],Types_of_Activity[Type of Activity],Types_of_Activity[Classification])=1,Term1_Day_8[[#This Row],[Elapsed]],0))</f>
        <v/>
      </c>
      <c r="BD40" s="105" t="str">
        <f>IF(ISBLANK(Term1_Day_8[[#This Row],[Activity]]),"",IF(_xlfn.XLOOKUP(Term1_Day_8[[#This Row],[Activity]],Types_of_Activity[Type of Activity],Types_of_Activity[Classification])=2,Term1_Day_8[[#This Row],[Elapsed]],0))</f>
        <v/>
      </c>
      <c r="BE40" s="106"/>
      <c r="BF40" s="135"/>
      <c r="BG40" s="135"/>
      <c r="BH40" s="102"/>
      <c r="BI40" s="105" t="str">
        <f>IF(OR(ISBLANK(Term1_Day_9[[#This Row],[Start]]),ISBLANK(Term1_Day_9[[#This Row],[End]])),"",(Term1_Day_9[[#This Row],[End]]-Term1_Day_9[[#This Row],[Start]])*1440)</f>
        <v/>
      </c>
      <c r="BJ40" s="105" t="str">
        <f>IF(ISBLANK(Term1_Day_9[[#This Row],[Activity]]),"",IF(_xlfn.XLOOKUP(Term1_Day_9[[#This Row],[Activity]],Types_of_Activity[Type of Activity],Types_of_Activity[Classification])=1,Term1_Day_9[[#This Row],[Elapsed]],0))</f>
        <v/>
      </c>
      <c r="BK40" s="105" t="str">
        <f>IF(ISBLANK(Term1_Day_9[[#This Row],[Activity]]),"",IF(_xlfn.XLOOKUP(Term1_Day_9[[#This Row],[Activity]],Types_of_Activity[Type of Activity],Types_of_Activity[Classification])=2,Term1_Day_9[[#This Row],[Elapsed]],0))</f>
        <v/>
      </c>
      <c r="BL40" s="106"/>
      <c r="BM40" s="135"/>
      <c r="BN40" s="135"/>
      <c r="BO40" s="102"/>
      <c r="BP40" s="105" t="str">
        <f>IF(OR(ISBLANK(Term1_Day_10[[#This Row],[Start]]),ISBLANK(Term1_Day_10[[#This Row],[End]])),"",(Term1_Day_10[[#This Row],[End]]-Term1_Day_10[[#This Row],[Start]])*1440)</f>
        <v/>
      </c>
      <c r="BQ40" s="105" t="str">
        <f>IF(ISBLANK(Term1_Day_10[[#This Row],[Activity]]),"",IF(_xlfn.XLOOKUP(Term1_Day_10[[#This Row],[Activity]],Types_of_Activity[Type of Activity],Types_of_Activity[Classification])=1,Term1_Day_10[[#This Row],[Elapsed]],0))</f>
        <v/>
      </c>
      <c r="BR40" s="105" t="str">
        <f>IF(ISBLANK(Term1_Day_10[[#This Row],[Activity]]),"",IF(_xlfn.XLOOKUP(Term1_Day_10[[#This Row],[Activity]],Types_of_Activity[Type of Activity],Types_of_Activity[Classification])=2,Term1_Day_10[[#This Row],[Elapsed]],0))</f>
        <v/>
      </c>
      <c r="BS40" s="106"/>
    </row>
    <row r="41" spans="2:71" x14ac:dyDescent="0.3">
      <c r="B41" s="135"/>
      <c r="C41" s="135"/>
      <c r="D41" s="102"/>
      <c r="E41" s="105" t="str">
        <f>IF(OR(ISBLANK(Term1_Day_1[[#This Row],[Start]]),ISBLANK(Term1_Day_1[[#This Row],[End]])),"",(Term1_Day_1[[#This Row],[End]]-Term1_Day_1[[#This Row],[Start]])*1440)</f>
        <v/>
      </c>
      <c r="F41" s="105" t="str">
        <f>IF(ISBLANK(Term1_Day_1[[#This Row],[Activity]]),"",IF(_xlfn.XLOOKUP(Term1_Day_1[[#This Row],[Activity]],Types_of_Activity[Type of Activity],Types_of_Activity[Classification])=1,Term1_Day_1[[#This Row],[Elapsed]],0))</f>
        <v/>
      </c>
      <c r="G41" s="105" t="str">
        <f>IF(ISBLANK(Term1_Day_1[[#This Row],[Activity]]),"",IF(_xlfn.XLOOKUP(Term1_Day_1[[#This Row],[Activity]],Types_of_Activity[Type of Activity],Types_of_Activity[Classification])=2,Term1_Day_1[[#This Row],[Elapsed]],0))</f>
        <v/>
      </c>
      <c r="I41" s="135"/>
      <c r="J41" s="135"/>
      <c r="K41" s="102"/>
      <c r="L41" s="105" t="str">
        <f>IF(OR(ISBLANK(Term1_Day_2[[#This Row],[Start]]),ISBLANK(Term1_Day_2[[#This Row],[End]])),"",(Term1_Day_2[[#This Row],[End]]-Term1_Day_2[[#This Row],[Start]])*1440)</f>
        <v/>
      </c>
      <c r="M41" s="105" t="str">
        <f>IF(ISBLANK(Term1_Day_2[[#This Row],[Activity]]),"",IF(_xlfn.XLOOKUP(Term1_Day_2[[#This Row],[Activity]],Types_of_Activity[Type of Activity],Types_of_Activity[Classification])=1,Term1_Day_2[[#This Row],[Elapsed]],0))</f>
        <v/>
      </c>
      <c r="N41" s="105" t="str">
        <f>IF(ISBLANK(Term1_Day_2[[#This Row],[Activity]]),"",IF(_xlfn.XLOOKUP(Term1_Day_2[[#This Row],[Activity]],Types_of_Activity[Type of Activity],Types_of_Activity[Classification])=2,Term1_Day_2[[#This Row],[Elapsed]],0))</f>
        <v/>
      </c>
      <c r="P41" s="135"/>
      <c r="Q41" s="135"/>
      <c r="R41" s="102"/>
      <c r="S41" s="105" t="str">
        <f>IF(OR(ISBLANK(Term1_Day_3[[#This Row],[Start]]),ISBLANK(Term1_Day_3[[#This Row],[End]])),"",(Term1_Day_3[[#This Row],[End]]-Term1_Day_3[[#This Row],[Start]])*1440)</f>
        <v/>
      </c>
      <c r="T41" s="105" t="str">
        <f>IF(ISBLANK(Term1_Day_3[[#This Row],[Activity]]),"",IF(_xlfn.XLOOKUP(Term1_Day_3[[#This Row],[Activity]],Types_of_Activity[Type of Activity],Types_of_Activity[Classification])=1,Term1_Day_3[[#This Row],[Elapsed]],0))</f>
        <v/>
      </c>
      <c r="U41" s="105" t="str">
        <f>IF(ISBLANK(Term1_Day_3[[#This Row],[Activity]]),"",IF(_xlfn.XLOOKUP(Term1_Day_3[[#This Row],[Activity]],Types_of_Activity[Type of Activity],Types_of_Activity[Classification])=2,Term1_Day_3[[#This Row],[Elapsed]],0))</f>
        <v/>
      </c>
      <c r="W41" s="135"/>
      <c r="X41" s="135"/>
      <c r="Y41" s="102"/>
      <c r="Z41" s="105" t="str">
        <f>IF(OR(ISBLANK(Term1_Day_4[[#This Row],[Start]]),ISBLANK(Term1_Day_4[[#This Row],[End]])),"",(Term1_Day_4[[#This Row],[End]]-Term1_Day_4[[#This Row],[Start]])*1440)</f>
        <v/>
      </c>
      <c r="AA41" s="105" t="str">
        <f>IF(ISBLANK(Term1_Day_4[[#This Row],[Activity]]),"",IF(_xlfn.XLOOKUP(Term1_Day_4[[#This Row],[Activity]],Types_of_Activity[Type of Activity],Types_of_Activity[Classification])=1,Term1_Day_4[[#This Row],[Elapsed]],0))</f>
        <v/>
      </c>
      <c r="AB41" s="105" t="str">
        <f>IF(ISBLANK(Term1_Day_4[[#This Row],[Activity]]),"",IF(_xlfn.XLOOKUP(Term1_Day_4[[#This Row],[Activity]],Types_of_Activity[Type of Activity],Types_of_Activity[Classification])=2,Term1_Day_4[[#This Row],[Elapsed]],0))</f>
        <v/>
      </c>
      <c r="AD41" s="135"/>
      <c r="AE41" s="135"/>
      <c r="AF41" s="102"/>
      <c r="AG41" s="105" t="str">
        <f>IF(OR(ISBLANK(Term1_Day_5[[#This Row],[Start]]),ISBLANK(Term1_Day_5[[#This Row],[End]])),"",(Term1_Day_5[[#This Row],[End]]-Term1_Day_5[[#This Row],[Start]])*1440)</f>
        <v/>
      </c>
      <c r="AH41" s="105" t="str">
        <f>IF(ISBLANK(Term1_Day_5[[#This Row],[Activity]]),"",IF(_xlfn.XLOOKUP(Term1_Day_5[[#This Row],[Activity]],Types_of_Activity[Type of Activity],Types_of_Activity[Classification])=1,Term1_Day_5[[#This Row],[Elapsed]],0))</f>
        <v/>
      </c>
      <c r="AI41" s="105" t="str">
        <f>IF(ISBLANK(Term1_Day_5[[#This Row],[Activity]]),"",IF(_xlfn.XLOOKUP(Term1_Day_5[[#This Row],[Activity]],Types_of_Activity[Type of Activity],Types_of_Activity[Classification])=2,Term1_Day_5[[#This Row],[Elapsed]],0))</f>
        <v/>
      </c>
      <c r="AJ41" s="106"/>
      <c r="AK41" s="135"/>
      <c r="AL41" s="135"/>
      <c r="AM41" s="102"/>
      <c r="AN41" s="105" t="str">
        <f>IF(OR(ISBLANK(Term1_Day_6[[#This Row],[Start]]),ISBLANK(Term1_Day_6[[#This Row],[End]])),"",(Term1_Day_6[[#This Row],[End]]-Term1_Day_6[[#This Row],[Start]])*1440)</f>
        <v/>
      </c>
      <c r="AO41" s="105" t="str">
        <f>IF(ISBLANK(Term1_Day_6[[#This Row],[Activity]]),"",IF(_xlfn.XLOOKUP(Term1_Day_6[[#This Row],[Activity]],Types_of_Activity[Type of Activity],Types_of_Activity[Classification])=1,Term1_Day_6[[#This Row],[Elapsed]],0))</f>
        <v/>
      </c>
      <c r="AP41" s="105" t="str">
        <f>IF(ISBLANK(Term1_Day_6[[#This Row],[Activity]]),"",IF(_xlfn.XLOOKUP(Term1_Day_6[[#This Row],[Activity]],Types_of_Activity[Type of Activity],Types_of_Activity[Classification])=2,Term1_Day_6[[#This Row],[Elapsed]],0))</f>
        <v/>
      </c>
      <c r="AQ41" s="106"/>
      <c r="AR41" s="135"/>
      <c r="AS41" s="135"/>
      <c r="AT41" s="102"/>
      <c r="AU41" s="105" t="str">
        <f>IF(OR(ISBLANK(Term1_Day_7[[#This Row],[Start]]),ISBLANK(Term1_Day_7[[#This Row],[End]])),"",(Term1_Day_7[[#This Row],[End]]-Term1_Day_7[[#This Row],[Start]])*1440)</f>
        <v/>
      </c>
      <c r="AV41" s="105" t="str">
        <f>IF(ISBLANK(Term1_Day_7[[#This Row],[Activity]]),"",IF(_xlfn.XLOOKUP(Term1_Day_7[[#This Row],[Activity]],Types_of_Activity[Type of Activity],Types_of_Activity[Classification])=1,Term1_Day_7[[#This Row],[Elapsed]],0))</f>
        <v/>
      </c>
      <c r="AW41" s="105" t="str">
        <f>IF(ISBLANK(Term1_Day_7[[#This Row],[Activity]]),"",IF(_xlfn.XLOOKUP(Term1_Day_7[[#This Row],[Activity]],Types_of_Activity[Type of Activity],Types_of_Activity[Classification])=2,Term1_Day_7[[#This Row],[Elapsed]],0))</f>
        <v/>
      </c>
      <c r="AX41" s="106"/>
      <c r="AY41" s="135"/>
      <c r="AZ41" s="135"/>
      <c r="BA41" s="102"/>
      <c r="BB41" s="105" t="str">
        <f>IF(OR(ISBLANK(Term1_Day_8[[#This Row],[Start]]),ISBLANK(Term1_Day_8[[#This Row],[End]])),"",(Term1_Day_8[[#This Row],[End]]-Term1_Day_8[[#This Row],[Start]])*1440)</f>
        <v/>
      </c>
      <c r="BC41" s="105" t="str">
        <f>IF(ISBLANK(Term1_Day_8[[#This Row],[Activity]]),"",IF(_xlfn.XLOOKUP(Term1_Day_8[[#This Row],[Activity]],Types_of_Activity[Type of Activity],Types_of_Activity[Classification])=1,Term1_Day_8[[#This Row],[Elapsed]],0))</f>
        <v/>
      </c>
      <c r="BD41" s="105" t="str">
        <f>IF(ISBLANK(Term1_Day_8[[#This Row],[Activity]]),"",IF(_xlfn.XLOOKUP(Term1_Day_8[[#This Row],[Activity]],Types_of_Activity[Type of Activity],Types_of_Activity[Classification])=2,Term1_Day_8[[#This Row],[Elapsed]],0))</f>
        <v/>
      </c>
      <c r="BE41" s="106"/>
      <c r="BF41" s="135"/>
      <c r="BG41" s="135"/>
      <c r="BH41" s="102"/>
      <c r="BI41" s="105" t="str">
        <f>IF(OR(ISBLANK(Term1_Day_9[[#This Row],[Start]]),ISBLANK(Term1_Day_9[[#This Row],[End]])),"",(Term1_Day_9[[#This Row],[End]]-Term1_Day_9[[#This Row],[Start]])*1440)</f>
        <v/>
      </c>
      <c r="BJ41" s="105" t="str">
        <f>IF(ISBLANK(Term1_Day_9[[#This Row],[Activity]]),"",IF(_xlfn.XLOOKUP(Term1_Day_9[[#This Row],[Activity]],Types_of_Activity[Type of Activity],Types_of_Activity[Classification])=1,Term1_Day_9[[#This Row],[Elapsed]],0))</f>
        <v/>
      </c>
      <c r="BK41" s="105" t="str">
        <f>IF(ISBLANK(Term1_Day_9[[#This Row],[Activity]]),"",IF(_xlfn.XLOOKUP(Term1_Day_9[[#This Row],[Activity]],Types_of_Activity[Type of Activity],Types_of_Activity[Classification])=2,Term1_Day_9[[#This Row],[Elapsed]],0))</f>
        <v/>
      </c>
      <c r="BL41" s="106"/>
      <c r="BM41" s="135"/>
      <c r="BN41" s="135"/>
      <c r="BO41" s="102"/>
      <c r="BP41" s="105" t="str">
        <f>IF(OR(ISBLANK(Term1_Day_10[[#This Row],[Start]]),ISBLANK(Term1_Day_10[[#This Row],[End]])),"",(Term1_Day_10[[#This Row],[End]]-Term1_Day_10[[#This Row],[Start]])*1440)</f>
        <v/>
      </c>
      <c r="BQ41" s="105" t="str">
        <f>IF(ISBLANK(Term1_Day_10[[#This Row],[Activity]]),"",IF(_xlfn.XLOOKUP(Term1_Day_10[[#This Row],[Activity]],Types_of_Activity[Type of Activity],Types_of_Activity[Classification])=1,Term1_Day_10[[#This Row],[Elapsed]],0))</f>
        <v/>
      </c>
      <c r="BR41" s="105" t="str">
        <f>IF(ISBLANK(Term1_Day_10[[#This Row],[Activity]]),"",IF(_xlfn.XLOOKUP(Term1_Day_10[[#This Row],[Activity]],Types_of_Activity[Type of Activity],Types_of_Activity[Classification])=2,Term1_Day_10[[#This Row],[Elapsed]],0))</f>
        <v/>
      </c>
      <c r="BS41" s="106"/>
    </row>
    <row r="42" spans="2:71" x14ac:dyDescent="0.3">
      <c r="B42" s="135"/>
      <c r="C42" s="135"/>
      <c r="D42" s="102"/>
      <c r="E42" s="105" t="str">
        <f>IF(OR(ISBLANK(Term1_Day_1[[#This Row],[Start]]),ISBLANK(Term1_Day_1[[#This Row],[End]])),"",(Term1_Day_1[[#This Row],[End]]-Term1_Day_1[[#This Row],[Start]])*1440)</f>
        <v/>
      </c>
      <c r="F42" s="105" t="str">
        <f>IF(ISBLANK(Term1_Day_1[[#This Row],[Activity]]),"",IF(_xlfn.XLOOKUP(Term1_Day_1[[#This Row],[Activity]],Types_of_Activity[Type of Activity],Types_of_Activity[Classification])=1,Term1_Day_1[[#This Row],[Elapsed]],0))</f>
        <v/>
      </c>
      <c r="G42" s="105" t="str">
        <f>IF(ISBLANK(Term1_Day_1[[#This Row],[Activity]]),"",IF(_xlfn.XLOOKUP(Term1_Day_1[[#This Row],[Activity]],Types_of_Activity[Type of Activity],Types_of_Activity[Classification])=2,Term1_Day_1[[#This Row],[Elapsed]],0))</f>
        <v/>
      </c>
      <c r="I42" s="135"/>
      <c r="J42" s="135"/>
      <c r="K42" s="102"/>
      <c r="L42" s="105" t="str">
        <f>IF(OR(ISBLANK(Term1_Day_2[[#This Row],[Start]]),ISBLANK(Term1_Day_2[[#This Row],[End]])),"",(Term1_Day_2[[#This Row],[End]]-Term1_Day_2[[#This Row],[Start]])*1440)</f>
        <v/>
      </c>
      <c r="M42" s="105" t="str">
        <f>IF(ISBLANK(Term1_Day_2[[#This Row],[Activity]]),"",IF(_xlfn.XLOOKUP(Term1_Day_2[[#This Row],[Activity]],Types_of_Activity[Type of Activity],Types_of_Activity[Classification])=1,Term1_Day_2[[#This Row],[Elapsed]],0))</f>
        <v/>
      </c>
      <c r="N42" s="105" t="str">
        <f>IF(ISBLANK(Term1_Day_2[[#This Row],[Activity]]),"",IF(_xlfn.XLOOKUP(Term1_Day_2[[#This Row],[Activity]],Types_of_Activity[Type of Activity],Types_of_Activity[Classification])=2,Term1_Day_2[[#This Row],[Elapsed]],0))</f>
        <v/>
      </c>
      <c r="P42" s="135"/>
      <c r="Q42" s="135"/>
      <c r="R42" s="102"/>
      <c r="S42" s="105" t="str">
        <f>IF(OR(ISBLANK(Term1_Day_3[[#This Row],[Start]]),ISBLANK(Term1_Day_3[[#This Row],[End]])),"",(Term1_Day_3[[#This Row],[End]]-Term1_Day_3[[#This Row],[Start]])*1440)</f>
        <v/>
      </c>
      <c r="T42" s="105" t="str">
        <f>IF(ISBLANK(Term1_Day_3[[#This Row],[Activity]]),"",IF(_xlfn.XLOOKUP(Term1_Day_3[[#This Row],[Activity]],Types_of_Activity[Type of Activity],Types_of_Activity[Classification])=1,Term1_Day_3[[#This Row],[Elapsed]],0))</f>
        <v/>
      </c>
      <c r="U42" s="105" t="str">
        <f>IF(ISBLANK(Term1_Day_3[[#This Row],[Activity]]),"",IF(_xlfn.XLOOKUP(Term1_Day_3[[#This Row],[Activity]],Types_of_Activity[Type of Activity],Types_of_Activity[Classification])=2,Term1_Day_3[[#This Row],[Elapsed]],0))</f>
        <v/>
      </c>
      <c r="W42" s="135"/>
      <c r="X42" s="135"/>
      <c r="Y42" s="102"/>
      <c r="Z42" s="105" t="str">
        <f>IF(OR(ISBLANK(Term1_Day_4[[#This Row],[Start]]),ISBLANK(Term1_Day_4[[#This Row],[End]])),"",(Term1_Day_4[[#This Row],[End]]-Term1_Day_4[[#This Row],[Start]])*1440)</f>
        <v/>
      </c>
      <c r="AA42" s="105" t="str">
        <f>IF(ISBLANK(Term1_Day_4[[#This Row],[Activity]]),"",IF(_xlfn.XLOOKUP(Term1_Day_4[[#This Row],[Activity]],Types_of_Activity[Type of Activity],Types_of_Activity[Classification])=1,Term1_Day_4[[#This Row],[Elapsed]],0))</f>
        <v/>
      </c>
      <c r="AB42" s="105" t="str">
        <f>IF(ISBLANK(Term1_Day_4[[#This Row],[Activity]]),"",IF(_xlfn.XLOOKUP(Term1_Day_4[[#This Row],[Activity]],Types_of_Activity[Type of Activity],Types_of_Activity[Classification])=2,Term1_Day_4[[#This Row],[Elapsed]],0))</f>
        <v/>
      </c>
      <c r="AD42" s="135"/>
      <c r="AE42" s="135"/>
      <c r="AF42" s="102"/>
      <c r="AG42" s="105" t="str">
        <f>IF(OR(ISBLANK(Term1_Day_5[[#This Row],[Start]]),ISBLANK(Term1_Day_5[[#This Row],[End]])),"",(Term1_Day_5[[#This Row],[End]]-Term1_Day_5[[#This Row],[Start]])*1440)</f>
        <v/>
      </c>
      <c r="AH42" s="105" t="str">
        <f>IF(ISBLANK(Term1_Day_5[[#This Row],[Activity]]),"",IF(_xlfn.XLOOKUP(Term1_Day_5[[#This Row],[Activity]],Types_of_Activity[Type of Activity],Types_of_Activity[Classification])=1,Term1_Day_5[[#This Row],[Elapsed]],0))</f>
        <v/>
      </c>
      <c r="AI42" s="105" t="str">
        <f>IF(ISBLANK(Term1_Day_5[[#This Row],[Activity]]),"",IF(_xlfn.XLOOKUP(Term1_Day_5[[#This Row],[Activity]],Types_of_Activity[Type of Activity],Types_of_Activity[Classification])=2,Term1_Day_5[[#This Row],[Elapsed]],0))</f>
        <v/>
      </c>
      <c r="AJ42" s="106"/>
      <c r="AK42" s="135"/>
      <c r="AL42" s="135"/>
      <c r="AM42" s="102"/>
      <c r="AN42" s="105" t="str">
        <f>IF(OR(ISBLANK(Term1_Day_6[[#This Row],[Start]]),ISBLANK(Term1_Day_6[[#This Row],[End]])),"",(Term1_Day_6[[#This Row],[End]]-Term1_Day_6[[#This Row],[Start]])*1440)</f>
        <v/>
      </c>
      <c r="AO42" s="105" t="str">
        <f>IF(ISBLANK(Term1_Day_6[[#This Row],[Activity]]),"",IF(_xlfn.XLOOKUP(Term1_Day_6[[#This Row],[Activity]],Types_of_Activity[Type of Activity],Types_of_Activity[Classification])=1,Term1_Day_6[[#This Row],[Elapsed]],0))</f>
        <v/>
      </c>
      <c r="AP42" s="105" t="str">
        <f>IF(ISBLANK(Term1_Day_6[[#This Row],[Activity]]),"",IF(_xlfn.XLOOKUP(Term1_Day_6[[#This Row],[Activity]],Types_of_Activity[Type of Activity],Types_of_Activity[Classification])=2,Term1_Day_6[[#This Row],[Elapsed]],0))</f>
        <v/>
      </c>
      <c r="AQ42" s="106"/>
      <c r="AR42" s="135"/>
      <c r="AS42" s="135"/>
      <c r="AT42" s="102"/>
      <c r="AU42" s="105" t="str">
        <f>IF(OR(ISBLANK(Term1_Day_7[[#This Row],[Start]]),ISBLANK(Term1_Day_7[[#This Row],[End]])),"",(Term1_Day_7[[#This Row],[End]]-Term1_Day_7[[#This Row],[Start]])*1440)</f>
        <v/>
      </c>
      <c r="AV42" s="105" t="str">
        <f>IF(ISBLANK(Term1_Day_7[[#This Row],[Activity]]),"",IF(_xlfn.XLOOKUP(Term1_Day_7[[#This Row],[Activity]],Types_of_Activity[Type of Activity],Types_of_Activity[Classification])=1,Term1_Day_7[[#This Row],[Elapsed]],0))</f>
        <v/>
      </c>
      <c r="AW42" s="105" t="str">
        <f>IF(ISBLANK(Term1_Day_7[[#This Row],[Activity]]),"",IF(_xlfn.XLOOKUP(Term1_Day_7[[#This Row],[Activity]],Types_of_Activity[Type of Activity],Types_of_Activity[Classification])=2,Term1_Day_7[[#This Row],[Elapsed]],0))</f>
        <v/>
      </c>
      <c r="AX42" s="106"/>
      <c r="AY42" s="135"/>
      <c r="AZ42" s="135"/>
      <c r="BA42" s="102"/>
      <c r="BB42" s="105" t="str">
        <f>IF(OR(ISBLANK(Term1_Day_8[[#This Row],[Start]]),ISBLANK(Term1_Day_8[[#This Row],[End]])),"",(Term1_Day_8[[#This Row],[End]]-Term1_Day_8[[#This Row],[Start]])*1440)</f>
        <v/>
      </c>
      <c r="BC42" s="105" t="str">
        <f>IF(ISBLANK(Term1_Day_8[[#This Row],[Activity]]),"",IF(_xlfn.XLOOKUP(Term1_Day_8[[#This Row],[Activity]],Types_of_Activity[Type of Activity],Types_of_Activity[Classification])=1,Term1_Day_8[[#This Row],[Elapsed]],0))</f>
        <v/>
      </c>
      <c r="BD42" s="105" t="str">
        <f>IF(ISBLANK(Term1_Day_8[[#This Row],[Activity]]),"",IF(_xlfn.XLOOKUP(Term1_Day_8[[#This Row],[Activity]],Types_of_Activity[Type of Activity],Types_of_Activity[Classification])=2,Term1_Day_8[[#This Row],[Elapsed]],0))</f>
        <v/>
      </c>
      <c r="BE42" s="106"/>
      <c r="BF42" s="135"/>
      <c r="BG42" s="135"/>
      <c r="BH42" s="102"/>
      <c r="BI42" s="105" t="str">
        <f>IF(OR(ISBLANK(Term1_Day_9[[#This Row],[Start]]),ISBLANK(Term1_Day_9[[#This Row],[End]])),"",(Term1_Day_9[[#This Row],[End]]-Term1_Day_9[[#This Row],[Start]])*1440)</f>
        <v/>
      </c>
      <c r="BJ42" s="105" t="str">
        <f>IF(ISBLANK(Term1_Day_9[[#This Row],[Activity]]),"",IF(_xlfn.XLOOKUP(Term1_Day_9[[#This Row],[Activity]],Types_of_Activity[Type of Activity],Types_of_Activity[Classification])=1,Term1_Day_9[[#This Row],[Elapsed]],0))</f>
        <v/>
      </c>
      <c r="BK42" s="105" t="str">
        <f>IF(ISBLANK(Term1_Day_9[[#This Row],[Activity]]),"",IF(_xlfn.XLOOKUP(Term1_Day_9[[#This Row],[Activity]],Types_of_Activity[Type of Activity],Types_of_Activity[Classification])=2,Term1_Day_9[[#This Row],[Elapsed]],0))</f>
        <v/>
      </c>
      <c r="BL42" s="106"/>
      <c r="BM42" s="135"/>
      <c r="BN42" s="135"/>
      <c r="BO42" s="102"/>
      <c r="BP42" s="105" t="str">
        <f>IF(OR(ISBLANK(Term1_Day_10[[#This Row],[Start]]),ISBLANK(Term1_Day_10[[#This Row],[End]])),"",(Term1_Day_10[[#This Row],[End]]-Term1_Day_10[[#This Row],[Start]])*1440)</f>
        <v/>
      </c>
      <c r="BQ42" s="105" t="str">
        <f>IF(ISBLANK(Term1_Day_10[[#This Row],[Activity]]),"",IF(_xlfn.XLOOKUP(Term1_Day_10[[#This Row],[Activity]],Types_of_Activity[Type of Activity],Types_of_Activity[Classification])=1,Term1_Day_10[[#This Row],[Elapsed]],0))</f>
        <v/>
      </c>
      <c r="BR42" s="105" t="str">
        <f>IF(ISBLANK(Term1_Day_10[[#This Row],[Activity]]),"",IF(_xlfn.XLOOKUP(Term1_Day_10[[#This Row],[Activity]],Types_of_Activity[Type of Activity],Types_of_Activity[Classification])=2,Term1_Day_10[[#This Row],[Elapsed]],0))</f>
        <v/>
      </c>
      <c r="BS42" s="106"/>
    </row>
    <row r="43" spans="2:71" x14ac:dyDescent="0.3">
      <c r="B43" s="135"/>
      <c r="C43" s="135"/>
      <c r="D43" s="102"/>
      <c r="E43" s="105" t="str">
        <f>IF(OR(ISBLANK(Term1_Day_1[[#This Row],[Start]]),ISBLANK(Term1_Day_1[[#This Row],[End]])),"",(Term1_Day_1[[#This Row],[End]]-Term1_Day_1[[#This Row],[Start]])*1440)</f>
        <v/>
      </c>
      <c r="F43" s="105" t="str">
        <f>IF(ISBLANK(Term1_Day_1[[#This Row],[Activity]]),"",IF(_xlfn.XLOOKUP(Term1_Day_1[[#This Row],[Activity]],Types_of_Activity[Type of Activity],Types_of_Activity[Classification])=1,Term1_Day_1[[#This Row],[Elapsed]],0))</f>
        <v/>
      </c>
      <c r="G43" s="105" t="str">
        <f>IF(ISBLANK(Term1_Day_1[[#This Row],[Activity]]),"",IF(_xlfn.XLOOKUP(Term1_Day_1[[#This Row],[Activity]],Types_of_Activity[Type of Activity],Types_of_Activity[Classification])=2,Term1_Day_1[[#This Row],[Elapsed]],0))</f>
        <v/>
      </c>
      <c r="I43" s="135"/>
      <c r="J43" s="135"/>
      <c r="K43" s="102"/>
      <c r="L43" s="105" t="str">
        <f>IF(OR(ISBLANK(Term1_Day_2[[#This Row],[Start]]),ISBLANK(Term1_Day_2[[#This Row],[End]])),"",(Term1_Day_2[[#This Row],[End]]-Term1_Day_2[[#This Row],[Start]])*1440)</f>
        <v/>
      </c>
      <c r="M43" s="105" t="str">
        <f>IF(ISBLANK(Term1_Day_2[[#This Row],[Activity]]),"",IF(_xlfn.XLOOKUP(Term1_Day_2[[#This Row],[Activity]],Types_of_Activity[Type of Activity],Types_of_Activity[Classification])=1,Term1_Day_2[[#This Row],[Elapsed]],0))</f>
        <v/>
      </c>
      <c r="N43" s="105" t="str">
        <f>IF(ISBLANK(Term1_Day_2[[#This Row],[Activity]]),"",IF(_xlfn.XLOOKUP(Term1_Day_2[[#This Row],[Activity]],Types_of_Activity[Type of Activity],Types_of_Activity[Classification])=2,Term1_Day_2[[#This Row],[Elapsed]],0))</f>
        <v/>
      </c>
      <c r="P43" s="135"/>
      <c r="Q43" s="135"/>
      <c r="R43" s="102"/>
      <c r="S43" s="105" t="str">
        <f>IF(OR(ISBLANK(Term1_Day_3[[#This Row],[Start]]),ISBLANK(Term1_Day_3[[#This Row],[End]])),"",(Term1_Day_3[[#This Row],[End]]-Term1_Day_3[[#This Row],[Start]])*1440)</f>
        <v/>
      </c>
      <c r="T43" s="105" t="str">
        <f>IF(ISBLANK(Term1_Day_3[[#This Row],[Activity]]),"",IF(_xlfn.XLOOKUP(Term1_Day_3[[#This Row],[Activity]],Types_of_Activity[Type of Activity],Types_of_Activity[Classification])=1,Term1_Day_3[[#This Row],[Elapsed]],0))</f>
        <v/>
      </c>
      <c r="U43" s="105" t="str">
        <f>IF(ISBLANK(Term1_Day_3[[#This Row],[Activity]]),"",IF(_xlfn.XLOOKUP(Term1_Day_3[[#This Row],[Activity]],Types_of_Activity[Type of Activity],Types_of_Activity[Classification])=2,Term1_Day_3[[#This Row],[Elapsed]],0))</f>
        <v/>
      </c>
      <c r="W43" s="135"/>
      <c r="X43" s="135"/>
      <c r="Y43" s="102"/>
      <c r="Z43" s="105" t="str">
        <f>IF(OR(ISBLANK(Term1_Day_4[[#This Row],[Start]]),ISBLANK(Term1_Day_4[[#This Row],[End]])),"",(Term1_Day_4[[#This Row],[End]]-Term1_Day_4[[#This Row],[Start]])*1440)</f>
        <v/>
      </c>
      <c r="AA43" s="105" t="str">
        <f>IF(ISBLANK(Term1_Day_4[[#This Row],[Activity]]),"",IF(_xlfn.XLOOKUP(Term1_Day_4[[#This Row],[Activity]],Types_of_Activity[Type of Activity],Types_of_Activity[Classification])=1,Term1_Day_4[[#This Row],[Elapsed]],0))</f>
        <v/>
      </c>
      <c r="AB43" s="105" t="str">
        <f>IF(ISBLANK(Term1_Day_4[[#This Row],[Activity]]),"",IF(_xlfn.XLOOKUP(Term1_Day_4[[#This Row],[Activity]],Types_of_Activity[Type of Activity],Types_of_Activity[Classification])=2,Term1_Day_4[[#This Row],[Elapsed]],0))</f>
        <v/>
      </c>
      <c r="AD43" s="135"/>
      <c r="AE43" s="135"/>
      <c r="AF43" s="102"/>
      <c r="AG43" s="105" t="str">
        <f>IF(OR(ISBLANK(Term1_Day_5[[#This Row],[Start]]),ISBLANK(Term1_Day_5[[#This Row],[End]])),"",(Term1_Day_5[[#This Row],[End]]-Term1_Day_5[[#This Row],[Start]])*1440)</f>
        <v/>
      </c>
      <c r="AH43" s="105" t="str">
        <f>IF(ISBLANK(Term1_Day_5[[#This Row],[Activity]]),"",IF(_xlfn.XLOOKUP(Term1_Day_5[[#This Row],[Activity]],Types_of_Activity[Type of Activity],Types_of_Activity[Classification])=1,Term1_Day_5[[#This Row],[Elapsed]],0))</f>
        <v/>
      </c>
      <c r="AI43" s="105" t="str">
        <f>IF(ISBLANK(Term1_Day_5[[#This Row],[Activity]]),"",IF(_xlfn.XLOOKUP(Term1_Day_5[[#This Row],[Activity]],Types_of_Activity[Type of Activity],Types_of_Activity[Classification])=2,Term1_Day_5[[#This Row],[Elapsed]],0))</f>
        <v/>
      </c>
      <c r="AJ43" s="106"/>
      <c r="AK43" s="135"/>
      <c r="AL43" s="135"/>
      <c r="AM43" s="102"/>
      <c r="AN43" s="105" t="str">
        <f>IF(OR(ISBLANK(Term1_Day_6[[#This Row],[Start]]),ISBLANK(Term1_Day_6[[#This Row],[End]])),"",(Term1_Day_6[[#This Row],[End]]-Term1_Day_6[[#This Row],[Start]])*1440)</f>
        <v/>
      </c>
      <c r="AO43" s="105" t="str">
        <f>IF(ISBLANK(Term1_Day_6[[#This Row],[Activity]]),"",IF(_xlfn.XLOOKUP(Term1_Day_6[[#This Row],[Activity]],Types_of_Activity[Type of Activity],Types_of_Activity[Classification])=1,Term1_Day_6[[#This Row],[Elapsed]],0))</f>
        <v/>
      </c>
      <c r="AP43" s="105" t="str">
        <f>IF(ISBLANK(Term1_Day_6[[#This Row],[Activity]]),"",IF(_xlfn.XLOOKUP(Term1_Day_6[[#This Row],[Activity]],Types_of_Activity[Type of Activity],Types_of_Activity[Classification])=2,Term1_Day_6[[#This Row],[Elapsed]],0))</f>
        <v/>
      </c>
      <c r="AQ43" s="106"/>
      <c r="AR43" s="135"/>
      <c r="AS43" s="135"/>
      <c r="AT43" s="102"/>
      <c r="AU43" s="105" t="str">
        <f>IF(OR(ISBLANK(Term1_Day_7[[#This Row],[Start]]),ISBLANK(Term1_Day_7[[#This Row],[End]])),"",(Term1_Day_7[[#This Row],[End]]-Term1_Day_7[[#This Row],[Start]])*1440)</f>
        <v/>
      </c>
      <c r="AV43" s="105" t="str">
        <f>IF(ISBLANK(Term1_Day_7[[#This Row],[Activity]]),"",IF(_xlfn.XLOOKUP(Term1_Day_7[[#This Row],[Activity]],Types_of_Activity[Type of Activity],Types_of_Activity[Classification])=1,Term1_Day_7[[#This Row],[Elapsed]],0))</f>
        <v/>
      </c>
      <c r="AW43" s="105" t="str">
        <f>IF(ISBLANK(Term1_Day_7[[#This Row],[Activity]]),"",IF(_xlfn.XLOOKUP(Term1_Day_7[[#This Row],[Activity]],Types_of_Activity[Type of Activity],Types_of_Activity[Classification])=2,Term1_Day_7[[#This Row],[Elapsed]],0))</f>
        <v/>
      </c>
      <c r="AX43" s="106"/>
      <c r="AY43" s="135"/>
      <c r="AZ43" s="135"/>
      <c r="BA43" s="102"/>
      <c r="BB43" s="105" t="str">
        <f>IF(OR(ISBLANK(Term1_Day_8[[#This Row],[Start]]),ISBLANK(Term1_Day_8[[#This Row],[End]])),"",(Term1_Day_8[[#This Row],[End]]-Term1_Day_8[[#This Row],[Start]])*1440)</f>
        <v/>
      </c>
      <c r="BC43" s="105" t="str">
        <f>IF(ISBLANK(Term1_Day_8[[#This Row],[Activity]]),"",IF(_xlfn.XLOOKUP(Term1_Day_8[[#This Row],[Activity]],Types_of_Activity[Type of Activity],Types_of_Activity[Classification])=1,Term1_Day_8[[#This Row],[Elapsed]],0))</f>
        <v/>
      </c>
      <c r="BD43" s="105" t="str">
        <f>IF(ISBLANK(Term1_Day_8[[#This Row],[Activity]]),"",IF(_xlfn.XLOOKUP(Term1_Day_8[[#This Row],[Activity]],Types_of_Activity[Type of Activity],Types_of_Activity[Classification])=2,Term1_Day_8[[#This Row],[Elapsed]],0))</f>
        <v/>
      </c>
      <c r="BE43" s="106"/>
      <c r="BF43" s="135"/>
      <c r="BG43" s="135"/>
      <c r="BH43" s="102"/>
      <c r="BI43" s="105" t="str">
        <f>IF(OR(ISBLANK(Term1_Day_9[[#This Row],[Start]]),ISBLANK(Term1_Day_9[[#This Row],[End]])),"",(Term1_Day_9[[#This Row],[End]]-Term1_Day_9[[#This Row],[Start]])*1440)</f>
        <v/>
      </c>
      <c r="BJ43" s="105" t="str">
        <f>IF(ISBLANK(Term1_Day_9[[#This Row],[Activity]]),"",IF(_xlfn.XLOOKUP(Term1_Day_9[[#This Row],[Activity]],Types_of_Activity[Type of Activity],Types_of_Activity[Classification])=1,Term1_Day_9[[#This Row],[Elapsed]],0))</f>
        <v/>
      </c>
      <c r="BK43" s="105" t="str">
        <f>IF(ISBLANK(Term1_Day_9[[#This Row],[Activity]]),"",IF(_xlfn.XLOOKUP(Term1_Day_9[[#This Row],[Activity]],Types_of_Activity[Type of Activity],Types_of_Activity[Classification])=2,Term1_Day_9[[#This Row],[Elapsed]],0))</f>
        <v/>
      </c>
      <c r="BL43" s="106"/>
      <c r="BM43" s="135"/>
      <c r="BN43" s="135"/>
      <c r="BO43" s="102"/>
      <c r="BP43" s="105" t="str">
        <f>IF(OR(ISBLANK(Term1_Day_10[[#This Row],[Start]]),ISBLANK(Term1_Day_10[[#This Row],[End]])),"",(Term1_Day_10[[#This Row],[End]]-Term1_Day_10[[#This Row],[Start]])*1440)</f>
        <v/>
      </c>
      <c r="BQ43" s="105" t="str">
        <f>IF(ISBLANK(Term1_Day_10[[#This Row],[Activity]]),"",IF(_xlfn.XLOOKUP(Term1_Day_10[[#This Row],[Activity]],Types_of_Activity[Type of Activity],Types_of_Activity[Classification])=1,Term1_Day_10[[#This Row],[Elapsed]],0))</f>
        <v/>
      </c>
      <c r="BR43" s="105" t="str">
        <f>IF(ISBLANK(Term1_Day_10[[#This Row],[Activity]]),"",IF(_xlfn.XLOOKUP(Term1_Day_10[[#This Row],[Activity]],Types_of_Activity[Type of Activity],Types_of_Activity[Classification])=2,Term1_Day_10[[#This Row],[Elapsed]],0))</f>
        <v/>
      </c>
      <c r="BS43" s="106"/>
    </row>
    <row r="44" spans="2:71" x14ac:dyDescent="0.3">
      <c r="B44" s="135"/>
      <c r="C44" s="135"/>
      <c r="D44" s="102"/>
      <c r="E44" s="105" t="str">
        <f>IF(OR(ISBLANK(Term1_Day_1[[#This Row],[Start]]),ISBLANK(Term1_Day_1[[#This Row],[End]])),"",(Term1_Day_1[[#This Row],[End]]-Term1_Day_1[[#This Row],[Start]])*1440)</f>
        <v/>
      </c>
      <c r="F44" s="105" t="str">
        <f>IF(ISBLANK(Term1_Day_1[[#This Row],[Activity]]),"",IF(_xlfn.XLOOKUP(Term1_Day_1[[#This Row],[Activity]],Types_of_Activity[Type of Activity],Types_of_Activity[Classification])=1,Term1_Day_1[[#This Row],[Elapsed]],0))</f>
        <v/>
      </c>
      <c r="G44" s="105" t="str">
        <f>IF(ISBLANK(Term1_Day_1[[#This Row],[Activity]]),"",IF(_xlfn.XLOOKUP(Term1_Day_1[[#This Row],[Activity]],Types_of_Activity[Type of Activity],Types_of_Activity[Classification])=2,Term1_Day_1[[#This Row],[Elapsed]],0))</f>
        <v/>
      </c>
      <c r="I44" s="135"/>
      <c r="J44" s="135"/>
      <c r="K44" s="102"/>
      <c r="L44" s="105" t="str">
        <f>IF(OR(ISBLANK(Term1_Day_2[[#This Row],[Start]]),ISBLANK(Term1_Day_2[[#This Row],[End]])),"",(Term1_Day_2[[#This Row],[End]]-Term1_Day_2[[#This Row],[Start]])*1440)</f>
        <v/>
      </c>
      <c r="M44" s="105" t="str">
        <f>IF(ISBLANK(Term1_Day_2[[#This Row],[Activity]]),"",IF(_xlfn.XLOOKUP(Term1_Day_2[[#This Row],[Activity]],Types_of_Activity[Type of Activity],Types_of_Activity[Classification])=1,Term1_Day_2[[#This Row],[Elapsed]],0))</f>
        <v/>
      </c>
      <c r="N44" s="105" t="str">
        <f>IF(ISBLANK(Term1_Day_2[[#This Row],[Activity]]),"",IF(_xlfn.XLOOKUP(Term1_Day_2[[#This Row],[Activity]],Types_of_Activity[Type of Activity],Types_of_Activity[Classification])=2,Term1_Day_2[[#This Row],[Elapsed]],0))</f>
        <v/>
      </c>
      <c r="P44" s="135"/>
      <c r="Q44" s="135"/>
      <c r="R44" s="102"/>
      <c r="S44" s="105" t="str">
        <f>IF(OR(ISBLANK(Term1_Day_3[[#This Row],[Start]]),ISBLANK(Term1_Day_3[[#This Row],[End]])),"",(Term1_Day_3[[#This Row],[End]]-Term1_Day_3[[#This Row],[Start]])*1440)</f>
        <v/>
      </c>
      <c r="T44" s="105" t="str">
        <f>IF(ISBLANK(Term1_Day_3[[#This Row],[Activity]]),"",IF(_xlfn.XLOOKUP(Term1_Day_3[[#This Row],[Activity]],Types_of_Activity[Type of Activity],Types_of_Activity[Classification])=1,Term1_Day_3[[#This Row],[Elapsed]],0))</f>
        <v/>
      </c>
      <c r="U44" s="105" t="str">
        <f>IF(ISBLANK(Term1_Day_3[[#This Row],[Activity]]),"",IF(_xlfn.XLOOKUP(Term1_Day_3[[#This Row],[Activity]],Types_of_Activity[Type of Activity],Types_of_Activity[Classification])=2,Term1_Day_3[[#This Row],[Elapsed]],0))</f>
        <v/>
      </c>
      <c r="W44" s="135"/>
      <c r="X44" s="135"/>
      <c r="Y44" s="102"/>
      <c r="Z44" s="105" t="str">
        <f>IF(OR(ISBLANK(Term1_Day_4[[#This Row],[Start]]),ISBLANK(Term1_Day_4[[#This Row],[End]])),"",(Term1_Day_4[[#This Row],[End]]-Term1_Day_4[[#This Row],[Start]])*1440)</f>
        <v/>
      </c>
      <c r="AA44" s="105" t="str">
        <f>IF(ISBLANK(Term1_Day_4[[#This Row],[Activity]]),"",IF(_xlfn.XLOOKUP(Term1_Day_4[[#This Row],[Activity]],Types_of_Activity[Type of Activity],Types_of_Activity[Classification])=1,Term1_Day_4[[#This Row],[Elapsed]],0))</f>
        <v/>
      </c>
      <c r="AB44" s="105" t="str">
        <f>IF(ISBLANK(Term1_Day_4[[#This Row],[Activity]]),"",IF(_xlfn.XLOOKUP(Term1_Day_4[[#This Row],[Activity]],Types_of_Activity[Type of Activity],Types_of_Activity[Classification])=2,Term1_Day_4[[#This Row],[Elapsed]],0))</f>
        <v/>
      </c>
      <c r="AD44" s="135"/>
      <c r="AE44" s="135"/>
      <c r="AF44" s="102"/>
      <c r="AG44" s="105" t="str">
        <f>IF(OR(ISBLANK(Term1_Day_5[[#This Row],[Start]]),ISBLANK(Term1_Day_5[[#This Row],[End]])),"",(Term1_Day_5[[#This Row],[End]]-Term1_Day_5[[#This Row],[Start]])*1440)</f>
        <v/>
      </c>
      <c r="AH44" s="105" t="str">
        <f>IF(ISBLANK(Term1_Day_5[[#This Row],[Activity]]),"",IF(_xlfn.XLOOKUP(Term1_Day_5[[#This Row],[Activity]],Types_of_Activity[Type of Activity],Types_of_Activity[Classification])=1,Term1_Day_5[[#This Row],[Elapsed]],0))</f>
        <v/>
      </c>
      <c r="AI44" s="105" t="str">
        <f>IF(ISBLANK(Term1_Day_5[[#This Row],[Activity]]),"",IF(_xlfn.XLOOKUP(Term1_Day_5[[#This Row],[Activity]],Types_of_Activity[Type of Activity],Types_of_Activity[Classification])=2,Term1_Day_5[[#This Row],[Elapsed]],0))</f>
        <v/>
      </c>
      <c r="AJ44" s="106"/>
      <c r="AK44" s="135"/>
      <c r="AL44" s="135"/>
      <c r="AM44" s="102"/>
      <c r="AN44" s="105" t="str">
        <f>IF(OR(ISBLANK(Term1_Day_6[[#This Row],[Start]]),ISBLANK(Term1_Day_6[[#This Row],[End]])),"",(Term1_Day_6[[#This Row],[End]]-Term1_Day_6[[#This Row],[Start]])*1440)</f>
        <v/>
      </c>
      <c r="AO44" s="105" t="str">
        <f>IF(ISBLANK(Term1_Day_6[[#This Row],[Activity]]),"",IF(_xlfn.XLOOKUP(Term1_Day_6[[#This Row],[Activity]],Types_of_Activity[Type of Activity],Types_of_Activity[Classification])=1,Term1_Day_6[[#This Row],[Elapsed]],0))</f>
        <v/>
      </c>
      <c r="AP44" s="105" t="str">
        <f>IF(ISBLANK(Term1_Day_6[[#This Row],[Activity]]),"",IF(_xlfn.XLOOKUP(Term1_Day_6[[#This Row],[Activity]],Types_of_Activity[Type of Activity],Types_of_Activity[Classification])=2,Term1_Day_6[[#This Row],[Elapsed]],0))</f>
        <v/>
      </c>
      <c r="AQ44" s="106"/>
      <c r="AR44" s="135"/>
      <c r="AS44" s="135"/>
      <c r="AT44" s="102"/>
      <c r="AU44" s="105" t="str">
        <f>IF(OR(ISBLANK(Term1_Day_7[[#This Row],[Start]]),ISBLANK(Term1_Day_7[[#This Row],[End]])),"",(Term1_Day_7[[#This Row],[End]]-Term1_Day_7[[#This Row],[Start]])*1440)</f>
        <v/>
      </c>
      <c r="AV44" s="105" t="str">
        <f>IF(ISBLANK(Term1_Day_7[[#This Row],[Activity]]),"",IF(_xlfn.XLOOKUP(Term1_Day_7[[#This Row],[Activity]],Types_of_Activity[Type of Activity],Types_of_Activity[Classification])=1,Term1_Day_7[[#This Row],[Elapsed]],0))</f>
        <v/>
      </c>
      <c r="AW44" s="105" t="str">
        <f>IF(ISBLANK(Term1_Day_7[[#This Row],[Activity]]),"",IF(_xlfn.XLOOKUP(Term1_Day_7[[#This Row],[Activity]],Types_of_Activity[Type of Activity],Types_of_Activity[Classification])=2,Term1_Day_7[[#This Row],[Elapsed]],0))</f>
        <v/>
      </c>
      <c r="AX44" s="106"/>
      <c r="AY44" s="135"/>
      <c r="AZ44" s="135"/>
      <c r="BA44" s="102"/>
      <c r="BB44" s="105" t="str">
        <f>IF(OR(ISBLANK(Term1_Day_8[[#This Row],[Start]]),ISBLANK(Term1_Day_8[[#This Row],[End]])),"",(Term1_Day_8[[#This Row],[End]]-Term1_Day_8[[#This Row],[Start]])*1440)</f>
        <v/>
      </c>
      <c r="BC44" s="105" t="str">
        <f>IF(ISBLANK(Term1_Day_8[[#This Row],[Activity]]),"",IF(_xlfn.XLOOKUP(Term1_Day_8[[#This Row],[Activity]],Types_of_Activity[Type of Activity],Types_of_Activity[Classification])=1,Term1_Day_8[[#This Row],[Elapsed]],0))</f>
        <v/>
      </c>
      <c r="BD44" s="105" t="str">
        <f>IF(ISBLANK(Term1_Day_8[[#This Row],[Activity]]),"",IF(_xlfn.XLOOKUP(Term1_Day_8[[#This Row],[Activity]],Types_of_Activity[Type of Activity],Types_of_Activity[Classification])=2,Term1_Day_8[[#This Row],[Elapsed]],0))</f>
        <v/>
      </c>
      <c r="BE44" s="106"/>
      <c r="BF44" s="135"/>
      <c r="BG44" s="135"/>
      <c r="BH44" s="102"/>
      <c r="BI44" s="105" t="str">
        <f>IF(OR(ISBLANK(Term1_Day_9[[#This Row],[Start]]),ISBLANK(Term1_Day_9[[#This Row],[End]])),"",(Term1_Day_9[[#This Row],[End]]-Term1_Day_9[[#This Row],[Start]])*1440)</f>
        <v/>
      </c>
      <c r="BJ44" s="105" t="str">
        <f>IF(ISBLANK(Term1_Day_9[[#This Row],[Activity]]),"",IF(_xlfn.XLOOKUP(Term1_Day_9[[#This Row],[Activity]],Types_of_Activity[Type of Activity],Types_of_Activity[Classification])=1,Term1_Day_9[[#This Row],[Elapsed]],0))</f>
        <v/>
      </c>
      <c r="BK44" s="105" t="str">
        <f>IF(ISBLANK(Term1_Day_9[[#This Row],[Activity]]),"",IF(_xlfn.XLOOKUP(Term1_Day_9[[#This Row],[Activity]],Types_of_Activity[Type of Activity],Types_of_Activity[Classification])=2,Term1_Day_9[[#This Row],[Elapsed]],0))</f>
        <v/>
      </c>
      <c r="BL44" s="106"/>
      <c r="BM44" s="135"/>
      <c r="BN44" s="135"/>
      <c r="BO44" s="102"/>
      <c r="BP44" s="105" t="str">
        <f>IF(OR(ISBLANK(Term1_Day_10[[#This Row],[Start]]),ISBLANK(Term1_Day_10[[#This Row],[End]])),"",(Term1_Day_10[[#This Row],[End]]-Term1_Day_10[[#This Row],[Start]])*1440)</f>
        <v/>
      </c>
      <c r="BQ44" s="105" t="str">
        <f>IF(ISBLANK(Term1_Day_10[[#This Row],[Activity]]),"",IF(_xlfn.XLOOKUP(Term1_Day_10[[#This Row],[Activity]],Types_of_Activity[Type of Activity],Types_of_Activity[Classification])=1,Term1_Day_10[[#This Row],[Elapsed]],0))</f>
        <v/>
      </c>
      <c r="BR44" s="105" t="str">
        <f>IF(ISBLANK(Term1_Day_10[[#This Row],[Activity]]),"",IF(_xlfn.XLOOKUP(Term1_Day_10[[#This Row],[Activity]],Types_of_Activity[Type of Activity],Types_of_Activity[Classification])=2,Term1_Day_10[[#This Row],[Elapsed]],0))</f>
        <v/>
      </c>
      <c r="BS44" s="106"/>
    </row>
    <row r="45" spans="2:71" x14ac:dyDescent="0.3">
      <c r="B45" s="135"/>
      <c r="C45" s="135"/>
      <c r="D45" s="102"/>
      <c r="E45" s="105" t="str">
        <f>IF(OR(ISBLANK(Term1_Day_1[[#This Row],[Start]]),ISBLANK(Term1_Day_1[[#This Row],[End]])),"",(Term1_Day_1[[#This Row],[End]]-Term1_Day_1[[#This Row],[Start]])*1440)</f>
        <v/>
      </c>
      <c r="F45" s="105" t="str">
        <f>IF(ISBLANK(Term1_Day_1[[#This Row],[Activity]]),"",IF(_xlfn.XLOOKUP(Term1_Day_1[[#This Row],[Activity]],Types_of_Activity[Type of Activity],Types_of_Activity[Classification])=1,Term1_Day_1[[#This Row],[Elapsed]],0))</f>
        <v/>
      </c>
      <c r="G45" s="105" t="str">
        <f>IF(ISBLANK(Term1_Day_1[[#This Row],[Activity]]),"",IF(_xlfn.XLOOKUP(Term1_Day_1[[#This Row],[Activity]],Types_of_Activity[Type of Activity],Types_of_Activity[Classification])=2,Term1_Day_1[[#This Row],[Elapsed]],0))</f>
        <v/>
      </c>
      <c r="I45" s="135"/>
      <c r="J45" s="135"/>
      <c r="K45" s="102"/>
      <c r="L45" s="105" t="str">
        <f>IF(OR(ISBLANK(Term1_Day_2[[#This Row],[Start]]),ISBLANK(Term1_Day_2[[#This Row],[End]])),"",(Term1_Day_2[[#This Row],[End]]-Term1_Day_2[[#This Row],[Start]])*1440)</f>
        <v/>
      </c>
      <c r="M45" s="105" t="str">
        <f>IF(ISBLANK(Term1_Day_2[[#This Row],[Activity]]),"",IF(_xlfn.XLOOKUP(Term1_Day_2[[#This Row],[Activity]],Types_of_Activity[Type of Activity],Types_of_Activity[Classification])=1,Term1_Day_2[[#This Row],[Elapsed]],0))</f>
        <v/>
      </c>
      <c r="N45" s="105" t="str">
        <f>IF(ISBLANK(Term1_Day_2[[#This Row],[Activity]]),"",IF(_xlfn.XLOOKUP(Term1_Day_2[[#This Row],[Activity]],Types_of_Activity[Type of Activity],Types_of_Activity[Classification])=2,Term1_Day_2[[#This Row],[Elapsed]],0))</f>
        <v/>
      </c>
      <c r="P45" s="135"/>
      <c r="Q45" s="135"/>
      <c r="R45" s="102"/>
      <c r="S45" s="105" t="str">
        <f>IF(OR(ISBLANK(Term1_Day_3[[#This Row],[Start]]),ISBLANK(Term1_Day_3[[#This Row],[End]])),"",(Term1_Day_3[[#This Row],[End]]-Term1_Day_3[[#This Row],[Start]])*1440)</f>
        <v/>
      </c>
      <c r="T45" s="105" t="str">
        <f>IF(ISBLANK(Term1_Day_3[[#This Row],[Activity]]),"",IF(_xlfn.XLOOKUP(Term1_Day_3[[#This Row],[Activity]],Types_of_Activity[Type of Activity],Types_of_Activity[Classification])=1,Term1_Day_3[[#This Row],[Elapsed]],0))</f>
        <v/>
      </c>
      <c r="U45" s="105" t="str">
        <f>IF(ISBLANK(Term1_Day_3[[#This Row],[Activity]]),"",IF(_xlfn.XLOOKUP(Term1_Day_3[[#This Row],[Activity]],Types_of_Activity[Type of Activity],Types_of_Activity[Classification])=2,Term1_Day_3[[#This Row],[Elapsed]],0))</f>
        <v/>
      </c>
      <c r="W45" s="135"/>
      <c r="X45" s="135"/>
      <c r="Y45" s="102"/>
      <c r="Z45" s="105" t="str">
        <f>IF(OR(ISBLANK(Term1_Day_4[[#This Row],[Start]]),ISBLANK(Term1_Day_4[[#This Row],[End]])),"",(Term1_Day_4[[#This Row],[End]]-Term1_Day_4[[#This Row],[Start]])*1440)</f>
        <v/>
      </c>
      <c r="AA45" s="105" t="str">
        <f>IF(ISBLANK(Term1_Day_4[[#This Row],[Activity]]),"",IF(_xlfn.XLOOKUP(Term1_Day_4[[#This Row],[Activity]],Types_of_Activity[Type of Activity],Types_of_Activity[Classification])=1,Term1_Day_4[[#This Row],[Elapsed]],0))</f>
        <v/>
      </c>
      <c r="AB45" s="105" t="str">
        <f>IF(ISBLANK(Term1_Day_4[[#This Row],[Activity]]),"",IF(_xlfn.XLOOKUP(Term1_Day_4[[#This Row],[Activity]],Types_of_Activity[Type of Activity],Types_of_Activity[Classification])=2,Term1_Day_4[[#This Row],[Elapsed]],0))</f>
        <v/>
      </c>
      <c r="AD45" s="135"/>
      <c r="AE45" s="135"/>
      <c r="AF45" s="102"/>
      <c r="AG45" s="105" t="str">
        <f>IF(OR(ISBLANK(Term1_Day_5[[#This Row],[Start]]),ISBLANK(Term1_Day_5[[#This Row],[End]])),"",(Term1_Day_5[[#This Row],[End]]-Term1_Day_5[[#This Row],[Start]])*1440)</f>
        <v/>
      </c>
      <c r="AH45" s="105" t="str">
        <f>IF(ISBLANK(Term1_Day_5[[#This Row],[Activity]]),"",IF(_xlfn.XLOOKUP(Term1_Day_5[[#This Row],[Activity]],Types_of_Activity[Type of Activity],Types_of_Activity[Classification])=1,Term1_Day_5[[#This Row],[Elapsed]],0))</f>
        <v/>
      </c>
      <c r="AI45" s="105" t="str">
        <f>IF(ISBLANK(Term1_Day_5[[#This Row],[Activity]]),"",IF(_xlfn.XLOOKUP(Term1_Day_5[[#This Row],[Activity]],Types_of_Activity[Type of Activity],Types_of_Activity[Classification])=2,Term1_Day_5[[#This Row],[Elapsed]],0))</f>
        <v/>
      </c>
      <c r="AJ45" s="106"/>
      <c r="AK45" s="135"/>
      <c r="AL45" s="135"/>
      <c r="AM45" s="102"/>
      <c r="AN45" s="105" t="str">
        <f>IF(OR(ISBLANK(Term1_Day_6[[#This Row],[Start]]),ISBLANK(Term1_Day_6[[#This Row],[End]])),"",(Term1_Day_6[[#This Row],[End]]-Term1_Day_6[[#This Row],[Start]])*1440)</f>
        <v/>
      </c>
      <c r="AO45" s="105" t="str">
        <f>IF(ISBLANK(Term1_Day_6[[#This Row],[Activity]]),"",IF(_xlfn.XLOOKUP(Term1_Day_6[[#This Row],[Activity]],Types_of_Activity[Type of Activity],Types_of_Activity[Classification])=1,Term1_Day_6[[#This Row],[Elapsed]],0))</f>
        <v/>
      </c>
      <c r="AP45" s="105" t="str">
        <f>IF(ISBLANK(Term1_Day_6[[#This Row],[Activity]]),"",IF(_xlfn.XLOOKUP(Term1_Day_6[[#This Row],[Activity]],Types_of_Activity[Type of Activity],Types_of_Activity[Classification])=2,Term1_Day_6[[#This Row],[Elapsed]],0))</f>
        <v/>
      </c>
      <c r="AQ45" s="106"/>
      <c r="AR45" s="135"/>
      <c r="AS45" s="135"/>
      <c r="AT45" s="102"/>
      <c r="AU45" s="105" t="str">
        <f>IF(OR(ISBLANK(Term1_Day_7[[#This Row],[Start]]),ISBLANK(Term1_Day_7[[#This Row],[End]])),"",(Term1_Day_7[[#This Row],[End]]-Term1_Day_7[[#This Row],[Start]])*1440)</f>
        <v/>
      </c>
      <c r="AV45" s="105" t="str">
        <f>IF(ISBLANK(Term1_Day_7[[#This Row],[Activity]]),"",IF(_xlfn.XLOOKUP(Term1_Day_7[[#This Row],[Activity]],Types_of_Activity[Type of Activity],Types_of_Activity[Classification])=1,Term1_Day_7[[#This Row],[Elapsed]],0))</f>
        <v/>
      </c>
      <c r="AW45" s="105" t="str">
        <f>IF(ISBLANK(Term1_Day_7[[#This Row],[Activity]]),"",IF(_xlfn.XLOOKUP(Term1_Day_7[[#This Row],[Activity]],Types_of_Activity[Type of Activity],Types_of_Activity[Classification])=2,Term1_Day_7[[#This Row],[Elapsed]],0))</f>
        <v/>
      </c>
      <c r="AX45" s="106"/>
      <c r="AY45" s="135"/>
      <c r="AZ45" s="135"/>
      <c r="BA45" s="102"/>
      <c r="BB45" s="105" t="str">
        <f>IF(OR(ISBLANK(Term1_Day_8[[#This Row],[Start]]),ISBLANK(Term1_Day_8[[#This Row],[End]])),"",(Term1_Day_8[[#This Row],[End]]-Term1_Day_8[[#This Row],[Start]])*1440)</f>
        <v/>
      </c>
      <c r="BC45" s="105" t="str">
        <f>IF(ISBLANK(Term1_Day_8[[#This Row],[Activity]]),"",IF(_xlfn.XLOOKUP(Term1_Day_8[[#This Row],[Activity]],Types_of_Activity[Type of Activity],Types_of_Activity[Classification])=1,Term1_Day_8[[#This Row],[Elapsed]],0))</f>
        <v/>
      </c>
      <c r="BD45" s="105" t="str">
        <f>IF(ISBLANK(Term1_Day_8[[#This Row],[Activity]]),"",IF(_xlfn.XLOOKUP(Term1_Day_8[[#This Row],[Activity]],Types_of_Activity[Type of Activity],Types_of_Activity[Classification])=2,Term1_Day_8[[#This Row],[Elapsed]],0))</f>
        <v/>
      </c>
      <c r="BE45" s="106"/>
      <c r="BF45" s="135"/>
      <c r="BG45" s="135"/>
      <c r="BH45" s="102"/>
      <c r="BI45" s="105" t="str">
        <f>IF(OR(ISBLANK(Term1_Day_9[[#This Row],[Start]]),ISBLANK(Term1_Day_9[[#This Row],[End]])),"",(Term1_Day_9[[#This Row],[End]]-Term1_Day_9[[#This Row],[Start]])*1440)</f>
        <v/>
      </c>
      <c r="BJ45" s="105" t="str">
        <f>IF(ISBLANK(Term1_Day_9[[#This Row],[Activity]]),"",IF(_xlfn.XLOOKUP(Term1_Day_9[[#This Row],[Activity]],Types_of_Activity[Type of Activity],Types_of_Activity[Classification])=1,Term1_Day_9[[#This Row],[Elapsed]],0))</f>
        <v/>
      </c>
      <c r="BK45" s="105" t="str">
        <f>IF(ISBLANK(Term1_Day_9[[#This Row],[Activity]]),"",IF(_xlfn.XLOOKUP(Term1_Day_9[[#This Row],[Activity]],Types_of_Activity[Type of Activity],Types_of_Activity[Classification])=2,Term1_Day_9[[#This Row],[Elapsed]],0))</f>
        <v/>
      </c>
      <c r="BL45" s="106"/>
      <c r="BM45" s="135"/>
      <c r="BN45" s="135"/>
      <c r="BO45" s="102"/>
      <c r="BP45" s="105" t="str">
        <f>IF(OR(ISBLANK(Term1_Day_10[[#This Row],[Start]]),ISBLANK(Term1_Day_10[[#This Row],[End]])),"",(Term1_Day_10[[#This Row],[End]]-Term1_Day_10[[#This Row],[Start]])*1440)</f>
        <v/>
      </c>
      <c r="BQ45" s="105" t="str">
        <f>IF(ISBLANK(Term1_Day_10[[#This Row],[Activity]]),"",IF(_xlfn.XLOOKUP(Term1_Day_10[[#This Row],[Activity]],Types_of_Activity[Type of Activity],Types_of_Activity[Classification])=1,Term1_Day_10[[#This Row],[Elapsed]],0))</f>
        <v/>
      </c>
      <c r="BR45" s="105" t="str">
        <f>IF(ISBLANK(Term1_Day_10[[#This Row],[Activity]]),"",IF(_xlfn.XLOOKUP(Term1_Day_10[[#This Row],[Activity]],Types_of_Activity[Type of Activity],Types_of_Activity[Classification])=2,Term1_Day_10[[#This Row],[Elapsed]],0))</f>
        <v/>
      </c>
      <c r="BS45" s="106"/>
    </row>
    <row r="46" spans="2:71" x14ac:dyDescent="0.3">
      <c r="B46" s="135"/>
      <c r="C46" s="135"/>
      <c r="D46" s="102"/>
      <c r="E46" s="105" t="str">
        <f>IF(OR(ISBLANK(Term1_Day_1[[#This Row],[Start]]),ISBLANK(Term1_Day_1[[#This Row],[End]])),"",(Term1_Day_1[[#This Row],[End]]-Term1_Day_1[[#This Row],[Start]])*1440)</f>
        <v/>
      </c>
      <c r="F46" s="105" t="str">
        <f>IF(ISBLANK(Term1_Day_1[[#This Row],[Activity]]),"",IF(_xlfn.XLOOKUP(Term1_Day_1[[#This Row],[Activity]],Types_of_Activity[Type of Activity],Types_of_Activity[Classification])=1,Term1_Day_1[[#This Row],[Elapsed]],0))</f>
        <v/>
      </c>
      <c r="G46" s="105" t="str">
        <f>IF(ISBLANK(Term1_Day_1[[#This Row],[Activity]]),"",IF(_xlfn.XLOOKUP(Term1_Day_1[[#This Row],[Activity]],Types_of_Activity[Type of Activity],Types_of_Activity[Classification])=2,Term1_Day_1[[#This Row],[Elapsed]],0))</f>
        <v/>
      </c>
      <c r="I46" s="135"/>
      <c r="J46" s="135"/>
      <c r="K46" s="102"/>
      <c r="L46" s="105" t="str">
        <f>IF(OR(ISBLANK(Term1_Day_2[[#This Row],[Start]]),ISBLANK(Term1_Day_2[[#This Row],[End]])),"",(Term1_Day_2[[#This Row],[End]]-Term1_Day_2[[#This Row],[Start]])*1440)</f>
        <v/>
      </c>
      <c r="M46" s="105" t="str">
        <f>IF(ISBLANK(Term1_Day_2[[#This Row],[Activity]]),"",IF(_xlfn.XLOOKUP(Term1_Day_2[[#This Row],[Activity]],Types_of_Activity[Type of Activity],Types_of_Activity[Classification])=1,Term1_Day_2[[#This Row],[Elapsed]],0))</f>
        <v/>
      </c>
      <c r="N46" s="105" t="str">
        <f>IF(ISBLANK(Term1_Day_2[[#This Row],[Activity]]),"",IF(_xlfn.XLOOKUP(Term1_Day_2[[#This Row],[Activity]],Types_of_Activity[Type of Activity],Types_of_Activity[Classification])=2,Term1_Day_2[[#This Row],[Elapsed]],0))</f>
        <v/>
      </c>
      <c r="P46" s="135"/>
      <c r="Q46" s="135"/>
      <c r="R46" s="102"/>
      <c r="S46" s="105" t="str">
        <f>IF(OR(ISBLANK(Term1_Day_3[[#This Row],[Start]]),ISBLANK(Term1_Day_3[[#This Row],[End]])),"",(Term1_Day_3[[#This Row],[End]]-Term1_Day_3[[#This Row],[Start]])*1440)</f>
        <v/>
      </c>
      <c r="T46" s="105" t="str">
        <f>IF(ISBLANK(Term1_Day_3[[#This Row],[Activity]]),"",IF(_xlfn.XLOOKUP(Term1_Day_3[[#This Row],[Activity]],Types_of_Activity[Type of Activity],Types_of_Activity[Classification])=1,Term1_Day_3[[#This Row],[Elapsed]],0))</f>
        <v/>
      </c>
      <c r="U46" s="105" t="str">
        <f>IF(ISBLANK(Term1_Day_3[[#This Row],[Activity]]),"",IF(_xlfn.XLOOKUP(Term1_Day_3[[#This Row],[Activity]],Types_of_Activity[Type of Activity],Types_of_Activity[Classification])=2,Term1_Day_3[[#This Row],[Elapsed]],0))</f>
        <v/>
      </c>
      <c r="W46" s="135"/>
      <c r="X46" s="135"/>
      <c r="Y46" s="102"/>
      <c r="Z46" s="105" t="str">
        <f>IF(OR(ISBLANK(Term1_Day_4[[#This Row],[Start]]),ISBLANK(Term1_Day_4[[#This Row],[End]])),"",(Term1_Day_4[[#This Row],[End]]-Term1_Day_4[[#This Row],[Start]])*1440)</f>
        <v/>
      </c>
      <c r="AA46" s="105" t="str">
        <f>IF(ISBLANK(Term1_Day_4[[#This Row],[Activity]]),"",IF(_xlfn.XLOOKUP(Term1_Day_4[[#This Row],[Activity]],Types_of_Activity[Type of Activity],Types_of_Activity[Classification])=1,Term1_Day_4[[#This Row],[Elapsed]],0))</f>
        <v/>
      </c>
      <c r="AB46" s="105" t="str">
        <f>IF(ISBLANK(Term1_Day_4[[#This Row],[Activity]]),"",IF(_xlfn.XLOOKUP(Term1_Day_4[[#This Row],[Activity]],Types_of_Activity[Type of Activity],Types_of_Activity[Classification])=2,Term1_Day_4[[#This Row],[Elapsed]],0))</f>
        <v/>
      </c>
      <c r="AD46" s="135"/>
      <c r="AE46" s="135"/>
      <c r="AF46" s="102"/>
      <c r="AG46" s="105" t="str">
        <f>IF(OR(ISBLANK(Term1_Day_5[[#This Row],[Start]]),ISBLANK(Term1_Day_5[[#This Row],[End]])),"",(Term1_Day_5[[#This Row],[End]]-Term1_Day_5[[#This Row],[Start]])*1440)</f>
        <v/>
      </c>
      <c r="AH46" s="105" t="str">
        <f>IF(ISBLANK(Term1_Day_5[[#This Row],[Activity]]),"",IF(_xlfn.XLOOKUP(Term1_Day_5[[#This Row],[Activity]],Types_of_Activity[Type of Activity],Types_of_Activity[Classification])=1,Term1_Day_5[[#This Row],[Elapsed]],0))</f>
        <v/>
      </c>
      <c r="AI46" s="105" t="str">
        <f>IF(ISBLANK(Term1_Day_5[[#This Row],[Activity]]),"",IF(_xlfn.XLOOKUP(Term1_Day_5[[#This Row],[Activity]],Types_of_Activity[Type of Activity],Types_of_Activity[Classification])=2,Term1_Day_5[[#This Row],[Elapsed]],0))</f>
        <v/>
      </c>
      <c r="AJ46" s="106"/>
      <c r="AK46" s="135"/>
      <c r="AL46" s="135"/>
      <c r="AM46" s="102"/>
      <c r="AN46" s="105" t="str">
        <f>IF(OR(ISBLANK(Term1_Day_6[[#This Row],[Start]]),ISBLANK(Term1_Day_6[[#This Row],[End]])),"",(Term1_Day_6[[#This Row],[End]]-Term1_Day_6[[#This Row],[Start]])*1440)</f>
        <v/>
      </c>
      <c r="AO46" s="105" t="str">
        <f>IF(ISBLANK(Term1_Day_6[[#This Row],[Activity]]),"",IF(_xlfn.XLOOKUP(Term1_Day_6[[#This Row],[Activity]],Types_of_Activity[Type of Activity],Types_of_Activity[Classification])=1,Term1_Day_6[[#This Row],[Elapsed]],0))</f>
        <v/>
      </c>
      <c r="AP46" s="105" t="str">
        <f>IF(ISBLANK(Term1_Day_6[[#This Row],[Activity]]),"",IF(_xlfn.XLOOKUP(Term1_Day_6[[#This Row],[Activity]],Types_of_Activity[Type of Activity],Types_of_Activity[Classification])=2,Term1_Day_6[[#This Row],[Elapsed]],0))</f>
        <v/>
      </c>
      <c r="AQ46" s="106"/>
      <c r="AR46" s="135"/>
      <c r="AS46" s="135"/>
      <c r="AT46" s="102"/>
      <c r="AU46" s="105" t="str">
        <f>IF(OR(ISBLANK(Term1_Day_7[[#This Row],[Start]]),ISBLANK(Term1_Day_7[[#This Row],[End]])),"",(Term1_Day_7[[#This Row],[End]]-Term1_Day_7[[#This Row],[Start]])*1440)</f>
        <v/>
      </c>
      <c r="AV46" s="105" t="str">
        <f>IF(ISBLANK(Term1_Day_7[[#This Row],[Activity]]),"",IF(_xlfn.XLOOKUP(Term1_Day_7[[#This Row],[Activity]],Types_of_Activity[Type of Activity],Types_of_Activity[Classification])=1,Term1_Day_7[[#This Row],[Elapsed]],0))</f>
        <v/>
      </c>
      <c r="AW46" s="105" t="str">
        <f>IF(ISBLANK(Term1_Day_7[[#This Row],[Activity]]),"",IF(_xlfn.XLOOKUP(Term1_Day_7[[#This Row],[Activity]],Types_of_Activity[Type of Activity],Types_of_Activity[Classification])=2,Term1_Day_7[[#This Row],[Elapsed]],0))</f>
        <v/>
      </c>
      <c r="AX46" s="106"/>
      <c r="AY46" s="135"/>
      <c r="AZ46" s="135"/>
      <c r="BA46" s="102"/>
      <c r="BB46" s="105" t="str">
        <f>IF(OR(ISBLANK(Term1_Day_8[[#This Row],[Start]]),ISBLANK(Term1_Day_8[[#This Row],[End]])),"",(Term1_Day_8[[#This Row],[End]]-Term1_Day_8[[#This Row],[Start]])*1440)</f>
        <v/>
      </c>
      <c r="BC46" s="105" t="str">
        <f>IF(ISBLANK(Term1_Day_8[[#This Row],[Activity]]),"",IF(_xlfn.XLOOKUP(Term1_Day_8[[#This Row],[Activity]],Types_of_Activity[Type of Activity],Types_of_Activity[Classification])=1,Term1_Day_8[[#This Row],[Elapsed]],0))</f>
        <v/>
      </c>
      <c r="BD46" s="105" t="str">
        <f>IF(ISBLANK(Term1_Day_8[[#This Row],[Activity]]),"",IF(_xlfn.XLOOKUP(Term1_Day_8[[#This Row],[Activity]],Types_of_Activity[Type of Activity],Types_of_Activity[Classification])=2,Term1_Day_8[[#This Row],[Elapsed]],0))</f>
        <v/>
      </c>
      <c r="BE46" s="106"/>
      <c r="BF46" s="135"/>
      <c r="BG46" s="135"/>
      <c r="BH46" s="102"/>
      <c r="BI46" s="105" t="str">
        <f>IF(OR(ISBLANK(Term1_Day_9[[#This Row],[Start]]),ISBLANK(Term1_Day_9[[#This Row],[End]])),"",(Term1_Day_9[[#This Row],[End]]-Term1_Day_9[[#This Row],[Start]])*1440)</f>
        <v/>
      </c>
      <c r="BJ46" s="105" t="str">
        <f>IF(ISBLANK(Term1_Day_9[[#This Row],[Activity]]),"",IF(_xlfn.XLOOKUP(Term1_Day_9[[#This Row],[Activity]],Types_of_Activity[Type of Activity],Types_of_Activity[Classification])=1,Term1_Day_9[[#This Row],[Elapsed]],0))</f>
        <v/>
      </c>
      <c r="BK46" s="105" t="str">
        <f>IF(ISBLANK(Term1_Day_9[[#This Row],[Activity]]),"",IF(_xlfn.XLOOKUP(Term1_Day_9[[#This Row],[Activity]],Types_of_Activity[Type of Activity],Types_of_Activity[Classification])=2,Term1_Day_9[[#This Row],[Elapsed]],0))</f>
        <v/>
      </c>
      <c r="BL46" s="106"/>
      <c r="BM46" s="135"/>
      <c r="BN46" s="135"/>
      <c r="BO46" s="102"/>
      <c r="BP46" s="105" t="str">
        <f>IF(OR(ISBLANK(Term1_Day_10[[#This Row],[Start]]),ISBLANK(Term1_Day_10[[#This Row],[End]])),"",(Term1_Day_10[[#This Row],[End]]-Term1_Day_10[[#This Row],[Start]])*1440)</f>
        <v/>
      </c>
      <c r="BQ46" s="105" t="str">
        <f>IF(ISBLANK(Term1_Day_10[[#This Row],[Activity]]),"",IF(_xlfn.XLOOKUP(Term1_Day_10[[#This Row],[Activity]],Types_of_Activity[Type of Activity],Types_of_Activity[Classification])=1,Term1_Day_10[[#This Row],[Elapsed]],0))</f>
        <v/>
      </c>
      <c r="BR46" s="105" t="str">
        <f>IF(ISBLANK(Term1_Day_10[[#This Row],[Activity]]),"",IF(_xlfn.XLOOKUP(Term1_Day_10[[#This Row],[Activity]],Types_of_Activity[Type of Activity],Types_of_Activity[Classification])=2,Term1_Day_10[[#This Row],[Elapsed]],0))</f>
        <v/>
      </c>
      <c r="BS46" s="106"/>
    </row>
    <row r="47" spans="2:71" x14ac:dyDescent="0.3">
      <c r="B47" s="135"/>
      <c r="C47" s="135"/>
      <c r="D47" s="102"/>
      <c r="E47" s="105" t="str">
        <f>IF(OR(ISBLANK(Term1_Day_1[[#This Row],[Start]]),ISBLANK(Term1_Day_1[[#This Row],[End]])),"",(Term1_Day_1[[#This Row],[End]]-Term1_Day_1[[#This Row],[Start]])*1440)</f>
        <v/>
      </c>
      <c r="F47" s="105" t="str">
        <f>IF(ISBLANK(Term1_Day_1[[#This Row],[Activity]]),"",IF(_xlfn.XLOOKUP(Term1_Day_1[[#This Row],[Activity]],Types_of_Activity[Type of Activity],Types_of_Activity[Classification])=1,Term1_Day_1[[#This Row],[Elapsed]],0))</f>
        <v/>
      </c>
      <c r="G47" s="105" t="str">
        <f>IF(ISBLANK(Term1_Day_1[[#This Row],[Activity]]),"",IF(_xlfn.XLOOKUP(Term1_Day_1[[#This Row],[Activity]],Types_of_Activity[Type of Activity],Types_of_Activity[Classification])=2,Term1_Day_1[[#This Row],[Elapsed]],0))</f>
        <v/>
      </c>
      <c r="I47" s="135"/>
      <c r="J47" s="135"/>
      <c r="K47" s="102"/>
      <c r="L47" s="105" t="str">
        <f>IF(OR(ISBLANK(Term1_Day_2[[#This Row],[Start]]),ISBLANK(Term1_Day_2[[#This Row],[End]])),"",(Term1_Day_2[[#This Row],[End]]-Term1_Day_2[[#This Row],[Start]])*1440)</f>
        <v/>
      </c>
      <c r="M47" s="105" t="str">
        <f>IF(ISBLANK(Term1_Day_2[[#This Row],[Activity]]),"",IF(_xlfn.XLOOKUP(Term1_Day_2[[#This Row],[Activity]],Types_of_Activity[Type of Activity],Types_of_Activity[Classification])=1,Term1_Day_2[[#This Row],[Elapsed]],0))</f>
        <v/>
      </c>
      <c r="N47" s="105" t="str">
        <f>IF(ISBLANK(Term1_Day_2[[#This Row],[Activity]]),"",IF(_xlfn.XLOOKUP(Term1_Day_2[[#This Row],[Activity]],Types_of_Activity[Type of Activity],Types_of_Activity[Classification])=2,Term1_Day_2[[#This Row],[Elapsed]],0))</f>
        <v/>
      </c>
      <c r="P47" s="135"/>
      <c r="Q47" s="135"/>
      <c r="R47" s="102"/>
      <c r="S47" s="105" t="str">
        <f>IF(OR(ISBLANK(Term1_Day_3[[#This Row],[Start]]),ISBLANK(Term1_Day_3[[#This Row],[End]])),"",(Term1_Day_3[[#This Row],[End]]-Term1_Day_3[[#This Row],[Start]])*1440)</f>
        <v/>
      </c>
      <c r="T47" s="105" t="str">
        <f>IF(ISBLANK(Term1_Day_3[[#This Row],[Activity]]),"",IF(_xlfn.XLOOKUP(Term1_Day_3[[#This Row],[Activity]],Types_of_Activity[Type of Activity],Types_of_Activity[Classification])=1,Term1_Day_3[[#This Row],[Elapsed]],0))</f>
        <v/>
      </c>
      <c r="U47" s="105" t="str">
        <f>IF(ISBLANK(Term1_Day_3[[#This Row],[Activity]]),"",IF(_xlfn.XLOOKUP(Term1_Day_3[[#This Row],[Activity]],Types_of_Activity[Type of Activity],Types_of_Activity[Classification])=2,Term1_Day_3[[#This Row],[Elapsed]],0))</f>
        <v/>
      </c>
      <c r="W47" s="135"/>
      <c r="X47" s="135"/>
      <c r="Y47" s="102"/>
      <c r="Z47" s="105" t="str">
        <f>IF(OR(ISBLANK(Term1_Day_4[[#This Row],[Start]]),ISBLANK(Term1_Day_4[[#This Row],[End]])),"",(Term1_Day_4[[#This Row],[End]]-Term1_Day_4[[#This Row],[Start]])*1440)</f>
        <v/>
      </c>
      <c r="AA47" s="105" t="str">
        <f>IF(ISBLANK(Term1_Day_4[[#This Row],[Activity]]),"",IF(_xlfn.XLOOKUP(Term1_Day_4[[#This Row],[Activity]],Types_of_Activity[Type of Activity],Types_of_Activity[Classification])=1,Term1_Day_4[[#This Row],[Elapsed]],0))</f>
        <v/>
      </c>
      <c r="AB47" s="105" t="str">
        <f>IF(ISBLANK(Term1_Day_4[[#This Row],[Activity]]),"",IF(_xlfn.XLOOKUP(Term1_Day_4[[#This Row],[Activity]],Types_of_Activity[Type of Activity],Types_of_Activity[Classification])=2,Term1_Day_4[[#This Row],[Elapsed]],0))</f>
        <v/>
      </c>
      <c r="AD47" s="135"/>
      <c r="AE47" s="135"/>
      <c r="AF47" s="102"/>
      <c r="AG47" s="105" t="str">
        <f>IF(OR(ISBLANK(Term1_Day_5[[#This Row],[Start]]),ISBLANK(Term1_Day_5[[#This Row],[End]])),"",(Term1_Day_5[[#This Row],[End]]-Term1_Day_5[[#This Row],[Start]])*1440)</f>
        <v/>
      </c>
      <c r="AH47" s="105" t="str">
        <f>IF(ISBLANK(Term1_Day_5[[#This Row],[Activity]]),"",IF(_xlfn.XLOOKUP(Term1_Day_5[[#This Row],[Activity]],Types_of_Activity[Type of Activity],Types_of_Activity[Classification])=1,Term1_Day_5[[#This Row],[Elapsed]],0))</f>
        <v/>
      </c>
      <c r="AI47" s="105" t="str">
        <f>IF(ISBLANK(Term1_Day_5[[#This Row],[Activity]]),"",IF(_xlfn.XLOOKUP(Term1_Day_5[[#This Row],[Activity]],Types_of_Activity[Type of Activity],Types_of_Activity[Classification])=2,Term1_Day_5[[#This Row],[Elapsed]],0))</f>
        <v/>
      </c>
      <c r="AJ47" s="106"/>
      <c r="AK47" s="135"/>
      <c r="AL47" s="135"/>
      <c r="AM47" s="102"/>
      <c r="AN47" s="105" t="str">
        <f>IF(OR(ISBLANK(Term1_Day_6[[#This Row],[Start]]),ISBLANK(Term1_Day_6[[#This Row],[End]])),"",(Term1_Day_6[[#This Row],[End]]-Term1_Day_6[[#This Row],[Start]])*1440)</f>
        <v/>
      </c>
      <c r="AO47" s="105" t="str">
        <f>IF(ISBLANK(Term1_Day_6[[#This Row],[Activity]]),"",IF(_xlfn.XLOOKUP(Term1_Day_6[[#This Row],[Activity]],Types_of_Activity[Type of Activity],Types_of_Activity[Classification])=1,Term1_Day_6[[#This Row],[Elapsed]],0))</f>
        <v/>
      </c>
      <c r="AP47" s="105" t="str">
        <f>IF(ISBLANK(Term1_Day_6[[#This Row],[Activity]]),"",IF(_xlfn.XLOOKUP(Term1_Day_6[[#This Row],[Activity]],Types_of_Activity[Type of Activity],Types_of_Activity[Classification])=2,Term1_Day_6[[#This Row],[Elapsed]],0))</f>
        <v/>
      </c>
      <c r="AQ47" s="106"/>
      <c r="AR47" s="135"/>
      <c r="AS47" s="135"/>
      <c r="AT47" s="102"/>
      <c r="AU47" s="105" t="str">
        <f>IF(OR(ISBLANK(Term1_Day_7[[#This Row],[Start]]),ISBLANK(Term1_Day_7[[#This Row],[End]])),"",(Term1_Day_7[[#This Row],[End]]-Term1_Day_7[[#This Row],[Start]])*1440)</f>
        <v/>
      </c>
      <c r="AV47" s="105" t="str">
        <f>IF(ISBLANK(Term1_Day_7[[#This Row],[Activity]]),"",IF(_xlfn.XLOOKUP(Term1_Day_7[[#This Row],[Activity]],Types_of_Activity[Type of Activity],Types_of_Activity[Classification])=1,Term1_Day_7[[#This Row],[Elapsed]],0))</f>
        <v/>
      </c>
      <c r="AW47" s="105" t="str">
        <f>IF(ISBLANK(Term1_Day_7[[#This Row],[Activity]]),"",IF(_xlfn.XLOOKUP(Term1_Day_7[[#This Row],[Activity]],Types_of_Activity[Type of Activity],Types_of_Activity[Classification])=2,Term1_Day_7[[#This Row],[Elapsed]],0))</f>
        <v/>
      </c>
      <c r="AX47" s="106"/>
      <c r="AY47" s="135"/>
      <c r="AZ47" s="135"/>
      <c r="BA47" s="102"/>
      <c r="BB47" s="105" t="str">
        <f>IF(OR(ISBLANK(Term1_Day_8[[#This Row],[Start]]),ISBLANK(Term1_Day_8[[#This Row],[End]])),"",(Term1_Day_8[[#This Row],[End]]-Term1_Day_8[[#This Row],[Start]])*1440)</f>
        <v/>
      </c>
      <c r="BC47" s="105" t="str">
        <f>IF(ISBLANK(Term1_Day_8[[#This Row],[Activity]]),"",IF(_xlfn.XLOOKUP(Term1_Day_8[[#This Row],[Activity]],Types_of_Activity[Type of Activity],Types_of_Activity[Classification])=1,Term1_Day_8[[#This Row],[Elapsed]],0))</f>
        <v/>
      </c>
      <c r="BD47" s="105" t="str">
        <f>IF(ISBLANK(Term1_Day_8[[#This Row],[Activity]]),"",IF(_xlfn.XLOOKUP(Term1_Day_8[[#This Row],[Activity]],Types_of_Activity[Type of Activity],Types_of_Activity[Classification])=2,Term1_Day_8[[#This Row],[Elapsed]],0))</f>
        <v/>
      </c>
      <c r="BE47" s="106"/>
      <c r="BF47" s="135"/>
      <c r="BG47" s="135"/>
      <c r="BH47" s="102"/>
      <c r="BI47" s="105" t="str">
        <f>IF(OR(ISBLANK(Term1_Day_9[[#This Row],[Start]]),ISBLANK(Term1_Day_9[[#This Row],[End]])),"",(Term1_Day_9[[#This Row],[End]]-Term1_Day_9[[#This Row],[Start]])*1440)</f>
        <v/>
      </c>
      <c r="BJ47" s="105" t="str">
        <f>IF(ISBLANK(Term1_Day_9[[#This Row],[Activity]]),"",IF(_xlfn.XLOOKUP(Term1_Day_9[[#This Row],[Activity]],Types_of_Activity[Type of Activity],Types_of_Activity[Classification])=1,Term1_Day_9[[#This Row],[Elapsed]],0))</f>
        <v/>
      </c>
      <c r="BK47" s="105" t="str">
        <f>IF(ISBLANK(Term1_Day_9[[#This Row],[Activity]]),"",IF(_xlfn.XLOOKUP(Term1_Day_9[[#This Row],[Activity]],Types_of_Activity[Type of Activity],Types_of_Activity[Classification])=2,Term1_Day_9[[#This Row],[Elapsed]],0))</f>
        <v/>
      </c>
      <c r="BL47" s="106"/>
      <c r="BM47" s="135"/>
      <c r="BN47" s="135"/>
      <c r="BO47" s="102"/>
      <c r="BP47" s="105" t="str">
        <f>IF(OR(ISBLANK(Term1_Day_10[[#This Row],[Start]]),ISBLANK(Term1_Day_10[[#This Row],[End]])),"",(Term1_Day_10[[#This Row],[End]]-Term1_Day_10[[#This Row],[Start]])*1440)</f>
        <v/>
      </c>
      <c r="BQ47" s="105" t="str">
        <f>IF(ISBLANK(Term1_Day_10[[#This Row],[Activity]]),"",IF(_xlfn.XLOOKUP(Term1_Day_10[[#This Row],[Activity]],Types_of_Activity[Type of Activity],Types_of_Activity[Classification])=1,Term1_Day_10[[#This Row],[Elapsed]],0))</f>
        <v/>
      </c>
      <c r="BR47" s="105" t="str">
        <f>IF(ISBLANK(Term1_Day_10[[#This Row],[Activity]]),"",IF(_xlfn.XLOOKUP(Term1_Day_10[[#This Row],[Activity]],Types_of_Activity[Type of Activity],Types_of_Activity[Classification])=2,Term1_Day_10[[#This Row],[Elapsed]],0))</f>
        <v/>
      </c>
      <c r="BS47" s="106"/>
    </row>
    <row r="48" spans="2:71" x14ac:dyDescent="0.3">
      <c r="B48" s="135"/>
      <c r="C48" s="135"/>
      <c r="D48" s="102"/>
      <c r="E48" s="105" t="str">
        <f>IF(OR(ISBLANK(Term1_Day_1[[#This Row],[Start]]),ISBLANK(Term1_Day_1[[#This Row],[End]])),"",(Term1_Day_1[[#This Row],[End]]-Term1_Day_1[[#This Row],[Start]])*1440)</f>
        <v/>
      </c>
      <c r="F48" s="105" t="str">
        <f>IF(ISBLANK(Term1_Day_1[[#This Row],[Activity]]),"",IF(_xlfn.XLOOKUP(Term1_Day_1[[#This Row],[Activity]],Types_of_Activity[Type of Activity],Types_of_Activity[Classification])=1,Term1_Day_1[[#This Row],[Elapsed]],0))</f>
        <v/>
      </c>
      <c r="G48" s="105" t="str">
        <f>IF(ISBLANK(Term1_Day_1[[#This Row],[Activity]]),"",IF(_xlfn.XLOOKUP(Term1_Day_1[[#This Row],[Activity]],Types_of_Activity[Type of Activity],Types_of_Activity[Classification])=2,Term1_Day_1[[#This Row],[Elapsed]],0))</f>
        <v/>
      </c>
      <c r="I48" s="135"/>
      <c r="J48" s="135"/>
      <c r="K48" s="102"/>
      <c r="L48" s="105" t="str">
        <f>IF(OR(ISBLANK(Term1_Day_2[[#This Row],[Start]]),ISBLANK(Term1_Day_2[[#This Row],[End]])),"",(Term1_Day_2[[#This Row],[End]]-Term1_Day_2[[#This Row],[Start]])*1440)</f>
        <v/>
      </c>
      <c r="M48" s="105" t="str">
        <f>IF(ISBLANK(Term1_Day_2[[#This Row],[Activity]]),"",IF(_xlfn.XLOOKUP(Term1_Day_2[[#This Row],[Activity]],Types_of_Activity[Type of Activity],Types_of_Activity[Classification])=1,Term1_Day_2[[#This Row],[Elapsed]],0))</f>
        <v/>
      </c>
      <c r="N48" s="105" t="str">
        <f>IF(ISBLANK(Term1_Day_2[[#This Row],[Activity]]),"",IF(_xlfn.XLOOKUP(Term1_Day_2[[#This Row],[Activity]],Types_of_Activity[Type of Activity],Types_of_Activity[Classification])=2,Term1_Day_2[[#This Row],[Elapsed]],0))</f>
        <v/>
      </c>
      <c r="P48" s="135"/>
      <c r="Q48" s="135"/>
      <c r="R48" s="102"/>
      <c r="S48" s="105" t="str">
        <f>IF(OR(ISBLANK(Term1_Day_3[[#This Row],[Start]]),ISBLANK(Term1_Day_3[[#This Row],[End]])),"",(Term1_Day_3[[#This Row],[End]]-Term1_Day_3[[#This Row],[Start]])*1440)</f>
        <v/>
      </c>
      <c r="T48" s="105" t="str">
        <f>IF(ISBLANK(Term1_Day_3[[#This Row],[Activity]]),"",IF(_xlfn.XLOOKUP(Term1_Day_3[[#This Row],[Activity]],Types_of_Activity[Type of Activity],Types_of_Activity[Classification])=1,Term1_Day_3[[#This Row],[Elapsed]],0))</f>
        <v/>
      </c>
      <c r="U48" s="105" t="str">
        <f>IF(ISBLANK(Term1_Day_3[[#This Row],[Activity]]),"",IF(_xlfn.XLOOKUP(Term1_Day_3[[#This Row],[Activity]],Types_of_Activity[Type of Activity],Types_of_Activity[Classification])=2,Term1_Day_3[[#This Row],[Elapsed]],0))</f>
        <v/>
      </c>
      <c r="W48" s="135"/>
      <c r="X48" s="135"/>
      <c r="Y48" s="102"/>
      <c r="Z48" s="105" t="str">
        <f>IF(OR(ISBLANK(Term1_Day_4[[#This Row],[Start]]),ISBLANK(Term1_Day_4[[#This Row],[End]])),"",(Term1_Day_4[[#This Row],[End]]-Term1_Day_4[[#This Row],[Start]])*1440)</f>
        <v/>
      </c>
      <c r="AA48" s="105" t="str">
        <f>IF(ISBLANK(Term1_Day_4[[#This Row],[Activity]]),"",IF(_xlfn.XLOOKUP(Term1_Day_4[[#This Row],[Activity]],Types_of_Activity[Type of Activity],Types_of_Activity[Classification])=1,Term1_Day_4[[#This Row],[Elapsed]],0))</f>
        <v/>
      </c>
      <c r="AB48" s="105" t="str">
        <f>IF(ISBLANK(Term1_Day_4[[#This Row],[Activity]]),"",IF(_xlfn.XLOOKUP(Term1_Day_4[[#This Row],[Activity]],Types_of_Activity[Type of Activity],Types_of_Activity[Classification])=2,Term1_Day_4[[#This Row],[Elapsed]],0))</f>
        <v/>
      </c>
      <c r="AD48" s="135"/>
      <c r="AE48" s="135"/>
      <c r="AF48" s="102"/>
      <c r="AG48" s="105" t="str">
        <f>IF(OR(ISBLANK(Term1_Day_5[[#This Row],[Start]]),ISBLANK(Term1_Day_5[[#This Row],[End]])),"",(Term1_Day_5[[#This Row],[End]]-Term1_Day_5[[#This Row],[Start]])*1440)</f>
        <v/>
      </c>
      <c r="AH48" s="105" t="str">
        <f>IF(ISBLANK(Term1_Day_5[[#This Row],[Activity]]),"",IF(_xlfn.XLOOKUP(Term1_Day_5[[#This Row],[Activity]],Types_of_Activity[Type of Activity],Types_of_Activity[Classification])=1,Term1_Day_5[[#This Row],[Elapsed]],0))</f>
        <v/>
      </c>
      <c r="AI48" s="105" t="str">
        <f>IF(ISBLANK(Term1_Day_5[[#This Row],[Activity]]),"",IF(_xlfn.XLOOKUP(Term1_Day_5[[#This Row],[Activity]],Types_of_Activity[Type of Activity],Types_of_Activity[Classification])=2,Term1_Day_5[[#This Row],[Elapsed]],0))</f>
        <v/>
      </c>
      <c r="AJ48" s="106"/>
      <c r="AK48" s="135"/>
      <c r="AL48" s="135"/>
      <c r="AM48" s="102"/>
      <c r="AN48" s="105" t="str">
        <f>IF(OR(ISBLANK(Term1_Day_6[[#This Row],[Start]]),ISBLANK(Term1_Day_6[[#This Row],[End]])),"",(Term1_Day_6[[#This Row],[End]]-Term1_Day_6[[#This Row],[Start]])*1440)</f>
        <v/>
      </c>
      <c r="AO48" s="105" t="str">
        <f>IF(ISBLANK(Term1_Day_6[[#This Row],[Activity]]),"",IF(_xlfn.XLOOKUP(Term1_Day_6[[#This Row],[Activity]],Types_of_Activity[Type of Activity],Types_of_Activity[Classification])=1,Term1_Day_6[[#This Row],[Elapsed]],0))</f>
        <v/>
      </c>
      <c r="AP48" s="105" t="str">
        <f>IF(ISBLANK(Term1_Day_6[[#This Row],[Activity]]),"",IF(_xlfn.XLOOKUP(Term1_Day_6[[#This Row],[Activity]],Types_of_Activity[Type of Activity],Types_of_Activity[Classification])=2,Term1_Day_6[[#This Row],[Elapsed]],0))</f>
        <v/>
      </c>
      <c r="AQ48" s="106"/>
      <c r="AR48" s="135"/>
      <c r="AS48" s="135"/>
      <c r="AT48" s="102"/>
      <c r="AU48" s="105" t="str">
        <f>IF(OR(ISBLANK(Term1_Day_7[[#This Row],[Start]]),ISBLANK(Term1_Day_7[[#This Row],[End]])),"",(Term1_Day_7[[#This Row],[End]]-Term1_Day_7[[#This Row],[Start]])*1440)</f>
        <v/>
      </c>
      <c r="AV48" s="105" t="str">
        <f>IF(ISBLANK(Term1_Day_7[[#This Row],[Activity]]),"",IF(_xlfn.XLOOKUP(Term1_Day_7[[#This Row],[Activity]],Types_of_Activity[Type of Activity],Types_of_Activity[Classification])=1,Term1_Day_7[[#This Row],[Elapsed]],0))</f>
        <v/>
      </c>
      <c r="AW48" s="105" t="str">
        <f>IF(ISBLANK(Term1_Day_7[[#This Row],[Activity]]),"",IF(_xlfn.XLOOKUP(Term1_Day_7[[#This Row],[Activity]],Types_of_Activity[Type of Activity],Types_of_Activity[Classification])=2,Term1_Day_7[[#This Row],[Elapsed]],0))</f>
        <v/>
      </c>
      <c r="AX48" s="106"/>
      <c r="AY48" s="135"/>
      <c r="AZ48" s="135"/>
      <c r="BA48" s="102"/>
      <c r="BB48" s="105" t="str">
        <f>IF(OR(ISBLANK(Term1_Day_8[[#This Row],[Start]]),ISBLANK(Term1_Day_8[[#This Row],[End]])),"",(Term1_Day_8[[#This Row],[End]]-Term1_Day_8[[#This Row],[Start]])*1440)</f>
        <v/>
      </c>
      <c r="BC48" s="105" t="str">
        <f>IF(ISBLANK(Term1_Day_8[[#This Row],[Activity]]),"",IF(_xlfn.XLOOKUP(Term1_Day_8[[#This Row],[Activity]],Types_of_Activity[Type of Activity],Types_of_Activity[Classification])=1,Term1_Day_8[[#This Row],[Elapsed]],0))</f>
        <v/>
      </c>
      <c r="BD48" s="105" t="str">
        <f>IF(ISBLANK(Term1_Day_8[[#This Row],[Activity]]),"",IF(_xlfn.XLOOKUP(Term1_Day_8[[#This Row],[Activity]],Types_of_Activity[Type of Activity],Types_of_Activity[Classification])=2,Term1_Day_8[[#This Row],[Elapsed]],0))</f>
        <v/>
      </c>
      <c r="BE48" s="106"/>
      <c r="BF48" s="135"/>
      <c r="BG48" s="135"/>
      <c r="BH48" s="102"/>
      <c r="BI48" s="105" t="str">
        <f>IF(OR(ISBLANK(Term1_Day_9[[#This Row],[Start]]),ISBLANK(Term1_Day_9[[#This Row],[End]])),"",(Term1_Day_9[[#This Row],[End]]-Term1_Day_9[[#This Row],[Start]])*1440)</f>
        <v/>
      </c>
      <c r="BJ48" s="105" t="str">
        <f>IF(ISBLANK(Term1_Day_9[[#This Row],[Activity]]),"",IF(_xlfn.XLOOKUP(Term1_Day_9[[#This Row],[Activity]],Types_of_Activity[Type of Activity],Types_of_Activity[Classification])=1,Term1_Day_9[[#This Row],[Elapsed]],0))</f>
        <v/>
      </c>
      <c r="BK48" s="105" t="str">
        <f>IF(ISBLANK(Term1_Day_9[[#This Row],[Activity]]),"",IF(_xlfn.XLOOKUP(Term1_Day_9[[#This Row],[Activity]],Types_of_Activity[Type of Activity],Types_of_Activity[Classification])=2,Term1_Day_9[[#This Row],[Elapsed]],0))</f>
        <v/>
      </c>
      <c r="BL48" s="106"/>
      <c r="BM48" s="135"/>
      <c r="BN48" s="135"/>
      <c r="BO48" s="102"/>
      <c r="BP48" s="105" t="str">
        <f>IF(OR(ISBLANK(Term1_Day_10[[#This Row],[Start]]),ISBLANK(Term1_Day_10[[#This Row],[End]])),"",(Term1_Day_10[[#This Row],[End]]-Term1_Day_10[[#This Row],[Start]])*1440)</f>
        <v/>
      </c>
      <c r="BQ48" s="105" t="str">
        <f>IF(ISBLANK(Term1_Day_10[[#This Row],[Activity]]),"",IF(_xlfn.XLOOKUP(Term1_Day_10[[#This Row],[Activity]],Types_of_Activity[Type of Activity],Types_of_Activity[Classification])=1,Term1_Day_10[[#This Row],[Elapsed]],0))</f>
        <v/>
      </c>
      <c r="BR48" s="105" t="str">
        <f>IF(ISBLANK(Term1_Day_10[[#This Row],[Activity]]),"",IF(_xlfn.XLOOKUP(Term1_Day_10[[#This Row],[Activity]],Types_of_Activity[Type of Activity],Types_of_Activity[Classification])=2,Term1_Day_10[[#This Row],[Elapsed]],0))</f>
        <v/>
      </c>
      <c r="BS48" s="106"/>
    </row>
    <row r="49" spans="2:71" x14ac:dyDescent="0.3">
      <c r="B49" s="135"/>
      <c r="C49" s="135"/>
      <c r="D49" s="102"/>
      <c r="E49" s="105" t="str">
        <f>IF(OR(ISBLANK(Term1_Day_1[[#This Row],[Start]]),ISBLANK(Term1_Day_1[[#This Row],[End]])),"",(Term1_Day_1[[#This Row],[End]]-Term1_Day_1[[#This Row],[Start]])*1440)</f>
        <v/>
      </c>
      <c r="F49" s="105" t="str">
        <f>IF(ISBLANK(Term1_Day_1[[#This Row],[Activity]]),"",IF(_xlfn.XLOOKUP(Term1_Day_1[[#This Row],[Activity]],Types_of_Activity[Type of Activity],Types_of_Activity[Classification])=1,Term1_Day_1[[#This Row],[Elapsed]],0))</f>
        <v/>
      </c>
      <c r="G49" s="105" t="str">
        <f>IF(ISBLANK(Term1_Day_1[[#This Row],[Activity]]),"",IF(_xlfn.XLOOKUP(Term1_Day_1[[#This Row],[Activity]],Types_of_Activity[Type of Activity],Types_of_Activity[Classification])=2,Term1_Day_1[[#This Row],[Elapsed]],0))</f>
        <v/>
      </c>
      <c r="I49" s="135"/>
      <c r="J49" s="135"/>
      <c r="K49" s="102"/>
      <c r="L49" s="105" t="str">
        <f>IF(OR(ISBLANK(Term1_Day_2[[#This Row],[Start]]),ISBLANK(Term1_Day_2[[#This Row],[End]])),"",(Term1_Day_2[[#This Row],[End]]-Term1_Day_2[[#This Row],[Start]])*1440)</f>
        <v/>
      </c>
      <c r="M49" s="105" t="str">
        <f>IF(ISBLANK(Term1_Day_2[[#This Row],[Activity]]),"",IF(_xlfn.XLOOKUP(Term1_Day_2[[#This Row],[Activity]],Types_of_Activity[Type of Activity],Types_of_Activity[Classification])=1,Term1_Day_2[[#This Row],[Elapsed]],0))</f>
        <v/>
      </c>
      <c r="N49" s="105" t="str">
        <f>IF(ISBLANK(Term1_Day_2[[#This Row],[Activity]]),"",IF(_xlfn.XLOOKUP(Term1_Day_2[[#This Row],[Activity]],Types_of_Activity[Type of Activity],Types_of_Activity[Classification])=2,Term1_Day_2[[#This Row],[Elapsed]],0))</f>
        <v/>
      </c>
      <c r="P49" s="135"/>
      <c r="Q49" s="135"/>
      <c r="R49" s="102"/>
      <c r="S49" s="105" t="str">
        <f>IF(OR(ISBLANK(Term1_Day_3[[#This Row],[Start]]),ISBLANK(Term1_Day_3[[#This Row],[End]])),"",(Term1_Day_3[[#This Row],[End]]-Term1_Day_3[[#This Row],[Start]])*1440)</f>
        <v/>
      </c>
      <c r="T49" s="105" t="str">
        <f>IF(ISBLANK(Term1_Day_3[[#This Row],[Activity]]),"",IF(_xlfn.XLOOKUP(Term1_Day_3[[#This Row],[Activity]],Types_of_Activity[Type of Activity],Types_of_Activity[Classification])=1,Term1_Day_3[[#This Row],[Elapsed]],0))</f>
        <v/>
      </c>
      <c r="U49" s="105" t="str">
        <f>IF(ISBLANK(Term1_Day_3[[#This Row],[Activity]]),"",IF(_xlfn.XLOOKUP(Term1_Day_3[[#This Row],[Activity]],Types_of_Activity[Type of Activity],Types_of_Activity[Classification])=2,Term1_Day_3[[#This Row],[Elapsed]],0))</f>
        <v/>
      </c>
      <c r="W49" s="135"/>
      <c r="X49" s="135"/>
      <c r="Y49" s="102"/>
      <c r="Z49" s="105" t="str">
        <f>IF(OR(ISBLANK(Term1_Day_4[[#This Row],[Start]]),ISBLANK(Term1_Day_4[[#This Row],[End]])),"",(Term1_Day_4[[#This Row],[End]]-Term1_Day_4[[#This Row],[Start]])*1440)</f>
        <v/>
      </c>
      <c r="AA49" s="105" t="str">
        <f>IF(ISBLANK(Term1_Day_4[[#This Row],[Activity]]),"",IF(_xlfn.XLOOKUP(Term1_Day_4[[#This Row],[Activity]],Types_of_Activity[Type of Activity],Types_of_Activity[Classification])=1,Term1_Day_4[[#This Row],[Elapsed]],0))</f>
        <v/>
      </c>
      <c r="AB49" s="105" t="str">
        <f>IF(ISBLANK(Term1_Day_4[[#This Row],[Activity]]),"",IF(_xlfn.XLOOKUP(Term1_Day_4[[#This Row],[Activity]],Types_of_Activity[Type of Activity],Types_of_Activity[Classification])=2,Term1_Day_4[[#This Row],[Elapsed]],0))</f>
        <v/>
      </c>
      <c r="AD49" s="135"/>
      <c r="AE49" s="135"/>
      <c r="AF49" s="102"/>
      <c r="AG49" s="105" t="str">
        <f>IF(OR(ISBLANK(Term1_Day_5[[#This Row],[Start]]),ISBLANK(Term1_Day_5[[#This Row],[End]])),"",(Term1_Day_5[[#This Row],[End]]-Term1_Day_5[[#This Row],[Start]])*1440)</f>
        <v/>
      </c>
      <c r="AH49" s="105" t="str">
        <f>IF(ISBLANK(Term1_Day_5[[#This Row],[Activity]]),"",IF(_xlfn.XLOOKUP(Term1_Day_5[[#This Row],[Activity]],Types_of_Activity[Type of Activity],Types_of_Activity[Classification])=1,Term1_Day_5[[#This Row],[Elapsed]],0))</f>
        <v/>
      </c>
      <c r="AI49" s="105" t="str">
        <f>IF(ISBLANK(Term1_Day_5[[#This Row],[Activity]]),"",IF(_xlfn.XLOOKUP(Term1_Day_5[[#This Row],[Activity]],Types_of_Activity[Type of Activity],Types_of_Activity[Classification])=2,Term1_Day_5[[#This Row],[Elapsed]],0))</f>
        <v/>
      </c>
      <c r="AJ49" s="106"/>
      <c r="AK49" s="135"/>
      <c r="AL49" s="135"/>
      <c r="AM49" s="102"/>
      <c r="AN49" s="105" t="str">
        <f>IF(OR(ISBLANK(Term1_Day_6[[#This Row],[Start]]),ISBLANK(Term1_Day_6[[#This Row],[End]])),"",(Term1_Day_6[[#This Row],[End]]-Term1_Day_6[[#This Row],[Start]])*1440)</f>
        <v/>
      </c>
      <c r="AO49" s="105" t="str">
        <f>IF(ISBLANK(Term1_Day_6[[#This Row],[Activity]]),"",IF(_xlfn.XLOOKUP(Term1_Day_6[[#This Row],[Activity]],Types_of_Activity[Type of Activity],Types_of_Activity[Classification])=1,Term1_Day_6[[#This Row],[Elapsed]],0))</f>
        <v/>
      </c>
      <c r="AP49" s="105" t="str">
        <f>IF(ISBLANK(Term1_Day_6[[#This Row],[Activity]]),"",IF(_xlfn.XLOOKUP(Term1_Day_6[[#This Row],[Activity]],Types_of_Activity[Type of Activity],Types_of_Activity[Classification])=2,Term1_Day_6[[#This Row],[Elapsed]],0))</f>
        <v/>
      </c>
      <c r="AQ49" s="106"/>
      <c r="AR49" s="135"/>
      <c r="AS49" s="135"/>
      <c r="AT49" s="102"/>
      <c r="AU49" s="105" t="str">
        <f>IF(OR(ISBLANK(Term1_Day_7[[#This Row],[Start]]),ISBLANK(Term1_Day_7[[#This Row],[End]])),"",(Term1_Day_7[[#This Row],[End]]-Term1_Day_7[[#This Row],[Start]])*1440)</f>
        <v/>
      </c>
      <c r="AV49" s="105" t="str">
        <f>IF(ISBLANK(Term1_Day_7[[#This Row],[Activity]]),"",IF(_xlfn.XLOOKUP(Term1_Day_7[[#This Row],[Activity]],Types_of_Activity[Type of Activity],Types_of_Activity[Classification])=1,Term1_Day_7[[#This Row],[Elapsed]],0))</f>
        <v/>
      </c>
      <c r="AW49" s="105" t="str">
        <f>IF(ISBLANK(Term1_Day_7[[#This Row],[Activity]]),"",IF(_xlfn.XLOOKUP(Term1_Day_7[[#This Row],[Activity]],Types_of_Activity[Type of Activity],Types_of_Activity[Classification])=2,Term1_Day_7[[#This Row],[Elapsed]],0))</f>
        <v/>
      </c>
      <c r="AX49" s="106"/>
      <c r="AY49" s="135"/>
      <c r="AZ49" s="135"/>
      <c r="BA49" s="102"/>
      <c r="BB49" s="105" t="str">
        <f>IF(OR(ISBLANK(Term1_Day_8[[#This Row],[Start]]),ISBLANK(Term1_Day_8[[#This Row],[End]])),"",(Term1_Day_8[[#This Row],[End]]-Term1_Day_8[[#This Row],[Start]])*1440)</f>
        <v/>
      </c>
      <c r="BC49" s="105" t="str">
        <f>IF(ISBLANK(Term1_Day_8[[#This Row],[Activity]]),"",IF(_xlfn.XLOOKUP(Term1_Day_8[[#This Row],[Activity]],Types_of_Activity[Type of Activity],Types_of_Activity[Classification])=1,Term1_Day_8[[#This Row],[Elapsed]],0))</f>
        <v/>
      </c>
      <c r="BD49" s="105" t="str">
        <f>IF(ISBLANK(Term1_Day_8[[#This Row],[Activity]]),"",IF(_xlfn.XLOOKUP(Term1_Day_8[[#This Row],[Activity]],Types_of_Activity[Type of Activity],Types_of_Activity[Classification])=2,Term1_Day_8[[#This Row],[Elapsed]],0))</f>
        <v/>
      </c>
      <c r="BE49" s="106"/>
      <c r="BF49" s="135"/>
      <c r="BG49" s="135"/>
      <c r="BH49" s="102"/>
      <c r="BI49" s="105" t="str">
        <f>IF(OR(ISBLANK(Term1_Day_9[[#This Row],[Start]]),ISBLANK(Term1_Day_9[[#This Row],[End]])),"",(Term1_Day_9[[#This Row],[End]]-Term1_Day_9[[#This Row],[Start]])*1440)</f>
        <v/>
      </c>
      <c r="BJ49" s="105" t="str">
        <f>IF(ISBLANK(Term1_Day_9[[#This Row],[Activity]]),"",IF(_xlfn.XLOOKUP(Term1_Day_9[[#This Row],[Activity]],Types_of_Activity[Type of Activity],Types_of_Activity[Classification])=1,Term1_Day_9[[#This Row],[Elapsed]],0))</f>
        <v/>
      </c>
      <c r="BK49" s="105" t="str">
        <f>IF(ISBLANK(Term1_Day_9[[#This Row],[Activity]]),"",IF(_xlfn.XLOOKUP(Term1_Day_9[[#This Row],[Activity]],Types_of_Activity[Type of Activity],Types_of_Activity[Classification])=2,Term1_Day_9[[#This Row],[Elapsed]],0))</f>
        <v/>
      </c>
      <c r="BL49" s="106"/>
      <c r="BM49" s="135"/>
      <c r="BN49" s="135"/>
      <c r="BO49" s="102"/>
      <c r="BP49" s="105" t="str">
        <f>IF(OR(ISBLANK(Term1_Day_10[[#This Row],[Start]]),ISBLANK(Term1_Day_10[[#This Row],[End]])),"",(Term1_Day_10[[#This Row],[End]]-Term1_Day_10[[#This Row],[Start]])*1440)</f>
        <v/>
      </c>
      <c r="BQ49" s="105" t="str">
        <f>IF(ISBLANK(Term1_Day_10[[#This Row],[Activity]]),"",IF(_xlfn.XLOOKUP(Term1_Day_10[[#This Row],[Activity]],Types_of_Activity[Type of Activity],Types_of_Activity[Classification])=1,Term1_Day_10[[#This Row],[Elapsed]],0))</f>
        <v/>
      </c>
      <c r="BR49" s="105" t="str">
        <f>IF(ISBLANK(Term1_Day_10[[#This Row],[Activity]]),"",IF(_xlfn.XLOOKUP(Term1_Day_10[[#This Row],[Activity]],Types_of_Activity[Type of Activity],Types_of_Activity[Classification])=2,Term1_Day_10[[#This Row],[Elapsed]],0))</f>
        <v/>
      </c>
      <c r="BS49" s="106"/>
    </row>
    <row r="50" spans="2:71" x14ac:dyDescent="0.3">
      <c r="B50" s="135"/>
      <c r="C50" s="135"/>
      <c r="D50" s="102"/>
      <c r="E50" s="105" t="str">
        <f>IF(OR(ISBLANK(Term1_Day_1[[#This Row],[Start]]),ISBLANK(Term1_Day_1[[#This Row],[End]])),"",(Term1_Day_1[[#This Row],[End]]-Term1_Day_1[[#This Row],[Start]])*1440)</f>
        <v/>
      </c>
      <c r="F50" s="105" t="str">
        <f>IF(ISBLANK(Term1_Day_1[[#This Row],[Activity]]),"",IF(_xlfn.XLOOKUP(Term1_Day_1[[#This Row],[Activity]],Types_of_Activity[Type of Activity],Types_of_Activity[Classification])=1,Term1_Day_1[[#This Row],[Elapsed]],0))</f>
        <v/>
      </c>
      <c r="G50" s="105" t="str">
        <f>IF(ISBLANK(Term1_Day_1[[#This Row],[Activity]]),"",IF(_xlfn.XLOOKUP(Term1_Day_1[[#This Row],[Activity]],Types_of_Activity[Type of Activity],Types_of_Activity[Classification])=2,Term1_Day_1[[#This Row],[Elapsed]],0))</f>
        <v/>
      </c>
      <c r="I50" s="135"/>
      <c r="J50" s="135"/>
      <c r="K50" s="102"/>
      <c r="L50" s="105" t="str">
        <f>IF(OR(ISBLANK(Term1_Day_2[[#This Row],[Start]]),ISBLANK(Term1_Day_2[[#This Row],[End]])),"",(Term1_Day_2[[#This Row],[End]]-Term1_Day_2[[#This Row],[Start]])*1440)</f>
        <v/>
      </c>
      <c r="M50" s="105" t="str">
        <f>IF(ISBLANK(Term1_Day_2[[#This Row],[Activity]]),"",IF(_xlfn.XLOOKUP(Term1_Day_2[[#This Row],[Activity]],Types_of_Activity[Type of Activity],Types_of_Activity[Classification])=1,Term1_Day_2[[#This Row],[Elapsed]],0))</f>
        <v/>
      </c>
      <c r="N50" s="105" t="str">
        <f>IF(ISBLANK(Term1_Day_2[[#This Row],[Activity]]),"",IF(_xlfn.XLOOKUP(Term1_Day_2[[#This Row],[Activity]],Types_of_Activity[Type of Activity],Types_of_Activity[Classification])=2,Term1_Day_2[[#This Row],[Elapsed]],0))</f>
        <v/>
      </c>
      <c r="P50" s="135"/>
      <c r="Q50" s="135"/>
      <c r="R50" s="102"/>
      <c r="S50" s="105" t="str">
        <f>IF(OR(ISBLANK(Term1_Day_3[[#This Row],[Start]]),ISBLANK(Term1_Day_3[[#This Row],[End]])),"",(Term1_Day_3[[#This Row],[End]]-Term1_Day_3[[#This Row],[Start]])*1440)</f>
        <v/>
      </c>
      <c r="T50" s="105" t="str">
        <f>IF(ISBLANK(Term1_Day_3[[#This Row],[Activity]]),"",IF(_xlfn.XLOOKUP(Term1_Day_3[[#This Row],[Activity]],Types_of_Activity[Type of Activity],Types_of_Activity[Classification])=1,Term1_Day_3[[#This Row],[Elapsed]],0))</f>
        <v/>
      </c>
      <c r="U50" s="105" t="str">
        <f>IF(ISBLANK(Term1_Day_3[[#This Row],[Activity]]),"",IF(_xlfn.XLOOKUP(Term1_Day_3[[#This Row],[Activity]],Types_of_Activity[Type of Activity],Types_of_Activity[Classification])=2,Term1_Day_3[[#This Row],[Elapsed]],0))</f>
        <v/>
      </c>
      <c r="W50" s="135"/>
      <c r="X50" s="135"/>
      <c r="Y50" s="102"/>
      <c r="Z50" s="105" t="str">
        <f>IF(OR(ISBLANK(Term1_Day_4[[#This Row],[Start]]),ISBLANK(Term1_Day_4[[#This Row],[End]])),"",(Term1_Day_4[[#This Row],[End]]-Term1_Day_4[[#This Row],[Start]])*1440)</f>
        <v/>
      </c>
      <c r="AA50" s="105" t="str">
        <f>IF(ISBLANK(Term1_Day_4[[#This Row],[Activity]]),"",IF(_xlfn.XLOOKUP(Term1_Day_4[[#This Row],[Activity]],Types_of_Activity[Type of Activity],Types_of_Activity[Classification])=1,Term1_Day_4[[#This Row],[Elapsed]],0))</f>
        <v/>
      </c>
      <c r="AB50" s="105" t="str">
        <f>IF(ISBLANK(Term1_Day_4[[#This Row],[Activity]]),"",IF(_xlfn.XLOOKUP(Term1_Day_4[[#This Row],[Activity]],Types_of_Activity[Type of Activity],Types_of_Activity[Classification])=2,Term1_Day_4[[#This Row],[Elapsed]],0))</f>
        <v/>
      </c>
      <c r="AD50" s="135"/>
      <c r="AE50" s="135"/>
      <c r="AF50" s="102"/>
      <c r="AG50" s="105" t="str">
        <f>IF(OR(ISBLANK(Term1_Day_5[[#This Row],[Start]]),ISBLANK(Term1_Day_5[[#This Row],[End]])),"",(Term1_Day_5[[#This Row],[End]]-Term1_Day_5[[#This Row],[Start]])*1440)</f>
        <v/>
      </c>
      <c r="AH50" s="105" t="str">
        <f>IF(ISBLANK(Term1_Day_5[[#This Row],[Activity]]),"",IF(_xlfn.XLOOKUP(Term1_Day_5[[#This Row],[Activity]],Types_of_Activity[Type of Activity],Types_of_Activity[Classification])=1,Term1_Day_5[[#This Row],[Elapsed]],0))</f>
        <v/>
      </c>
      <c r="AI50" s="105" t="str">
        <f>IF(ISBLANK(Term1_Day_5[[#This Row],[Activity]]),"",IF(_xlfn.XLOOKUP(Term1_Day_5[[#This Row],[Activity]],Types_of_Activity[Type of Activity],Types_of_Activity[Classification])=2,Term1_Day_5[[#This Row],[Elapsed]],0))</f>
        <v/>
      </c>
      <c r="AJ50" s="106"/>
      <c r="AK50" s="135"/>
      <c r="AL50" s="135"/>
      <c r="AM50" s="102"/>
      <c r="AN50" s="105" t="str">
        <f>IF(OR(ISBLANK(Term1_Day_6[[#This Row],[Start]]),ISBLANK(Term1_Day_6[[#This Row],[End]])),"",(Term1_Day_6[[#This Row],[End]]-Term1_Day_6[[#This Row],[Start]])*1440)</f>
        <v/>
      </c>
      <c r="AO50" s="105" t="str">
        <f>IF(ISBLANK(Term1_Day_6[[#This Row],[Activity]]),"",IF(_xlfn.XLOOKUP(Term1_Day_6[[#This Row],[Activity]],Types_of_Activity[Type of Activity],Types_of_Activity[Classification])=1,Term1_Day_6[[#This Row],[Elapsed]],0))</f>
        <v/>
      </c>
      <c r="AP50" s="105" t="str">
        <f>IF(ISBLANK(Term1_Day_6[[#This Row],[Activity]]),"",IF(_xlfn.XLOOKUP(Term1_Day_6[[#This Row],[Activity]],Types_of_Activity[Type of Activity],Types_of_Activity[Classification])=2,Term1_Day_6[[#This Row],[Elapsed]],0))</f>
        <v/>
      </c>
      <c r="AQ50" s="106"/>
      <c r="AR50" s="135"/>
      <c r="AS50" s="135"/>
      <c r="AT50" s="102"/>
      <c r="AU50" s="105" t="str">
        <f>IF(OR(ISBLANK(Term1_Day_7[[#This Row],[Start]]),ISBLANK(Term1_Day_7[[#This Row],[End]])),"",(Term1_Day_7[[#This Row],[End]]-Term1_Day_7[[#This Row],[Start]])*1440)</f>
        <v/>
      </c>
      <c r="AV50" s="105" t="str">
        <f>IF(ISBLANK(Term1_Day_7[[#This Row],[Activity]]),"",IF(_xlfn.XLOOKUP(Term1_Day_7[[#This Row],[Activity]],Types_of_Activity[Type of Activity],Types_of_Activity[Classification])=1,Term1_Day_7[[#This Row],[Elapsed]],0))</f>
        <v/>
      </c>
      <c r="AW50" s="105" t="str">
        <f>IF(ISBLANK(Term1_Day_7[[#This Row],[Activity]]),"",IF(_xlfn.XLOOKUP(Term1_Day_7[[#This Row],[Activity]],Types_of_Activity[Type of Activity],Types_of_Activity[Classification])=2,Term1_Day_7[[#This Row],[Elapsed]],0))</f>
        <v/>
      </c>
      <c r="AX50" s="106"/>
      <c r="AY50" s="135"/>
      <c r="AZ50" s="135"/>
      <c r="BA50" s="102"/>
      <c r="BB50" s="105" t="str">
        <f>IF(OR(ISBLANK(Term1_Day_8[[#This Row],[Start]]),ISBLANK(Term1_Day_8[[#This Row],[End]])),"",(Term1_Day_8[[#This Row],[End]]-Term1_Day_8[[#This Row],[Start]])*1440)</f>
        <v/>
      </c>
      <c r="BC50" s="105" t="str">
        <f>IF(ISBLANK(Term1_Day_8[[#This Row],[Activity]]),"",IF(_xlfn.XLOOKUP(Term1_Day_8[[#This Row],[Activity]],Types_of_Activity[Type of Activity],Types_of_Activity[Classification])=1,Term1_Day_8[[#This Row],[Elapsed]],0))</f>
        <v/>
      </c>
      <c r="BD50" s="105" t="str">
        <f>IF(ISBLANK(Term1_Day_8[[#This Row],[Activity]]),"",IF(_xlfn.XLOOKUP(Term1_Day_8[[#This Row],[Activity]],Types_of_Activity[Type of Activity],Types_of_Activity[Classification])=2,Term1_Day_8[[#This Row],[Elapsed]],0))</f>
        <v/>
      </c>
      <c r="BE50" s="106"/>
      <c r="BF50" s="135"/>
      <c r="BG50" s="135"/>
      <c r="BH50" s="102"/>
      <c r="BI50" s="105" t="str">
        <f>IF(OR(ISBLANK(Term1_Day_9[[#This Row],[Start]]),ISBLANK(Term1_Day_9[[#This Row],[End]])),"",(Term1_Day_9[[#This Row],[End]]-Term1_Day_9[[#This Row],[Start]])*1440)</f>
        <v/>
      </c>
      <c r="BJ50" s="105" t="str">
        <f>IF(ISBLANK(Term1_Day_9[[#This Row],[Activity]]),"",IF(_xlfn.XLOOKUP(Term1_Day_9[[#This Row],[Activity]],Types_of_Activity[Type of Activity],Types_of_Activity[Classification])=1,Term1_Day_9[[#This Row],[Elapsed]],0))</f>
        <v/>
      </c>
      <c r="BK50" s="105" t="str">
        <f>IF(ISBLANK(Term1_Day_9[[#This Row],[Activity]]),"",IF(_xlfn.XLOOKUP(Term1_Day_9[[#This Row],[Activity]],Types_of_Activity[Type of Activity],Types_of_Activity[Classification])=2,Term1_Day_9[[#This Row],[Elapsed]],0))</f>
        <v/>
      </c>
      <c r="BL50" s="106"/>
      <c r="BM50" s="135"/>
      <c r="BN50" s="135"/>
      <c r="BO50" s="102"/>
      <c r="BP50" s="105" t="str">
        <f>IF(OR(ISBLANK(Term1_Day_10[[#This Row],[Start]]),ISBLANK(Term1_Day_10[[#This Row],[End]])),"",(Term1_Day_10[[#This Row],[End]]-Term1_Day_10[[#This Row],[Start]])*1440)</f>
        <v/>
      </c>
      <c r="BQ50" s="105" t="str">
        <f>IF(ISBLANK(Term1_Day_10[[#This Row],[Activity]]),"",IF(_xlfn.XLOOKUP(Term1_Day_10[[#This Row],[Activity]],Types_of_Activity[Type of Activity],Types_of_Activity[Classification])=1,Term1_Day_10[[#This Row],[Elapsed]],0))</f>
        <v/>
      </c>
      <c r="BR50" s="105" t="str">
        <f>IF(ISBLANK(Term1_Day_10[[#This Row],[Activity]]),"",IF(_xlfn.XLOOKUP(Term1_Day_10[[#This Row],[Activity]],Types_of_Activity[Type of Activity],Types_of_Activity[Classification])=2,Term1_Day_10[[#This Row],[Elapsed]],0))</f>
        <v/>
      </c>
      <c r="BS50" s="106"/>
    </row>
    <row r="55" spans="2:71" ht="30.6" x14ac:dyDescent="0.55000000000000004">
      <c r="B55" s="104" t="s">
        <v>22</v>
      </c>
      <c r="F55" s="105"/>
      <c r="G55" s="105"/>
      <c r="H55"/>
      <c r="I55" s="104" t="s">
        <v>23</v>
      </c>
      <c r="M55" s="105"/>
      <c r="N55" s="105"/>
      <c r="O55"/>
      <c r="P55" s="104" t="s">
        <v>24</v>
      </c>
      <c r="T55" s="105"/>
      <c r="U55" s="105"/>
      <c r="W55" s="104" t="s">
        <v>4108</v>
      </c>
      <c r="AA55" s="105"/>
      <c r="AB55" s="105"/>
      <c r="AD55" s="104" t="s">
        <v>4109</v>
      </c>
      <c r="AH55" s="105"/>
      <c r="AI55" s="105"/>
      <c r="AK55" s="104" t="s">
        <v>4110</v>
      </c>
      <c r="AO55" s="105"/>
      <c r="AP55" s="105"/>
    </row>
    <row r="56" spans="2:71" ht="28.8" x14ac:dyDescent="0.3">
      <c r="B56" s="119" t="s">
        <v>16</v>
      </c>
      <c r="C56" s="119" t="s">
        <v>17</v>
      </c>
      <c r="D56" s="119" t="s">
        <v>19</v>
      </c>
      <c r="E56" s="119" t="s">
        <v>18</v>
      </c>
      <c r="F56" s="119" t="s">
        <v>20</v>
      </c>
      <c r="G56" s="120" t="s">
        <v>4075</v>
      </c>
      <c r="H56"/>
      <c r="I56" s="119" t="s">
        <v>16</v>
      </c>
      <c r="J56" s="119" t="s">
        <v>17</v>
      </c>
      <c r="K56" s="119" t="s">
        <v>19</v>
      </c>
      <c r="L56" s="119" t="s">
        <v>18</v>
      </c>
      <c r="M56" s="119" t="s">
        <v>20</v>
      </c>
      <c r="N56" s="120" t="s">
        <v>4075</v>
      </c>
      <c r="O56"/>
      <c r="P56" s="119" t="s">
        <v>16</v>
      </c>
      <c r="Q56" s="119" t="s">
        <v>17</v>
      </c>
      <c r="R56" s="119" t="s">
        <v>19</v>
      </c>
      <c r="S56" s="119" t="s">
        <v>18</v>
      </c>
      <c r="T56" s="119" t="s">
        <v>20</v>
      </c>
      <c r="U56" s="120" t="s">
        <v>4075</v>
      </c>
      <c r="W56" s="119" t="s">
        <v>16</v>
      </c>
      <c r="X56" s="119" t="s">
        <v>17</v>
      </c>
      <c r="Y56" s="119" t="s">
        <v>19</v>
      </c>
      <c r="Z56" s="119" t="s">
        <v>18</v>
      </c>
      <c r="AA56" s="119" t="s">
        <v>20</v>
      </c>
      <c r="AB56" s="120" t="s">
        <v>4075</v>
      </c>
      <c r="AD56" s="119" t="s">
        <v>16</v>
      </c>
      <c r="AE56" s="119" t="s">
        <v>17</v>
      </c>
      <c r="AF56" s="119" t="s">
        <v>19</v>
      </c>
      <c r="AG56" s="119" t="s">
        <v>18</v>
      </c>
      <c r="AH56" s="119" t="s">
        <v>20</v>
      </c>
      <c r="AI56" s="120" t="s">
        <v>4075</v>
      </c>
      <c r="AK56" s="119" t="s">
        <v>16</v>
      </c>
      <c r="AL56" s="119" t="s">
        <v>17</v>
      </c>
      <c r="AM56" s="119" t="s">
        <v>19</v>
      </c>
      <c r="AN56" s="119" t="s">
        <v>18</v>
      </c>
      <c r="AO56" s="119" t="s">
        <v>20</v>
      </c>
      <c r="AP56" s="120" t="s">
        <v>4075</v>
      </c>
    </row>
    <row r="57" spans="2:71" x14ac:dyDescent="0.3">
      <c r="B57" s="135"/>
      <c r="C57" s="135"/>
      <c r="D57" s="102"/>
      <c r="E57" s="105" t="str">
        <f>IF(OR(ISBLANK(Term1_Early_Dismissal_1[[#This Row],[Start]]),ISBLANK(Term1_Early_Dismissal_1[[#This Row],[End]])),"",(Term1_Early_Dismissal_1[[#This Row],[End]]-Term1_Early_Dismissal_1[[#This Row],[Start]])*1440)</f>
        <v/>
      </c>
      <c r="F57" s="105" t="str">
        <f>IF(ISBLANK(Term1_Early_Dismissal_1[[#This Row],[Activity]]),"",IF(_xlfn.XLOOKUP(Term1_Early_Dismissal_1[[#This Row],[Activity]],Types_of_Activity[Type of Activity],Types_of_Activity[Classification])=1,Term1_Early_Dismissal_1[[#This Row],[Elapsed]],0))</f>
        <v/>
      </c>
      <c r="G57" s="105" t="str">
        <f>IF(ISBLANK(Term1_Early_Dismissal_1[[#This Row],[Activity]]),"",IF(_xlfn.XLOOKUP(Term1_Early_Dismissal_1[[#This Row],[Activity]],Types_of_Activity[Type of Activity],Types_of_Activity[Classification])=2,Term1_Early_Dismissal_1[[#This Row],[Elapsed]],0))</f>
        <v/>
      </c>
      <c r="H57"/>
      <c r="I57" s="135"/>
      <c r="J57" s="135"/>
      <c r="K57" s="102"/>
      <c r="L57" s="105" t="str">
        <f>IF(OR(ISBLANK(Term1_Early_Dismissal_2[[#This Row],[Start]]),ISBLANK(Term1_Early_Dismissal_2[[#This Row],[End]])),"",(Term1_Early_Dismissal_2[[#This Row],[End]]-Term1_Early_Dismissal_2[[#This Row],[Start]])*1440)</f>
        <v/>
      </c>
      <c r="M57" s="105" t="str">
        <f>IF(ISBLANK(Term1_Early_Dismissal_2[[#This Row],[Activity]]),"",IF(_xlfn.XLOOKUP(Term1_Early_Dismissal_2[[#This Row],[Activity]],Types_of_Activity[Type of Activity],Types_of_Activity[Classification])=1,Term1_Early_Dismissal_2[[#This Row],[Elapsed]],0))</f>
        <v/>
      </c>
      <c r="N57" s="105" t="str">
        <f>IF(ISBLANK(Term1_Early_Dismissal_2[[#This Row],[Activity]]),"",IF(_xlfn.XLOOKUP(Term1_Early_Dismissal_2[[#This Row],[Activity]],Types_of_Activity[Type of Activity],Types_of_Activity[Classification])=2,Term1_Early_Dismissal_2[[#This Row],[Elapsed]],0))</f>
        <v/>
      </c>
      <c r="O57"/>
      <c r="P57" s="135"/>
      <c r="Q57" s="135"/>
      <c r="R57" s="102"/>
      <c r="S57" s="105" t="str">
        <f>IF(OR(ISBLANK(Term1_Early_Dismissal_3[[#This Row],[Start]]),ISBLANK(Term1_Early_Dismissal_3[[#This Row],[End]])),"",(Term1_Early_Dismissal_3[[#This Row],[End]]-Term1_Early_Dismissal_3[[#This Row],[Start]])*1440)</f>
        <v/>
      </c>
      <c r="T57" s="105" t="str">
        <f>IF(ISBLANK(Term1_Early_Dismissal_3[[#This Row],[Activity]]),"",IF(_xlfn.XLOOKUP(Term1_Early_Dismissal_3[[#This Row],[Activity]],Types_of_Activity[Type of Activity],Types_of_Activity[Classification])=1,Term1_Early_Dismissal_3[[#This Row],[Elapsed]],0))</f>
        <v/>
      </c>
      <c r="U57" s="105" t="str">
        <f>IF(ISBLANK(Term1_Early_Dismissal_3[[#This Row],[Activity]]),"",IF(_xlfn.XLOOKUP(Term1_Early_Dismissal_3[[#This Row],[Activity]],Types_of_Activity[Type of Activity],Types_of_Activity[Classification])=2,Term1_Early_Dismissal_3[[#This Row],[Elapsed]],0))</f>
        <v/>
      </c>
      <c r="W57" s="135"/>
      <c r="X57" s="135"/>
      <c r="Y57" s="102"/>
      <c r="Z57" s="105" t="str">
        <f>IF(OR(ISBLANK(Term1_Early_Dismissal_4[[#This Row],[Start]]),ISBLANK(Term1_Early_Dismissal_4[[#This Row],[End]])),"",(Term1_Early_Dismissal_4[[#This Row],[End]]-Term1_Early_Dismissal_4[[#This Row],[Start]])*1440)</f>
        <v/>
      </c>
      <c r="AA57" s="105" t="str">
        <f>IF(ISBLANK(Term1_Early_Dismissal_4[[#This Row],[Activity]]),"",IF(_xlfn.XLOOKUP(Term1_Early_Dismissal_4[[#This Row],[Activity]],Types_of_Activity[Type of Activity],Types_of_Activity[Classification])=1,Term1_Early_Dismissal_4[[#This Row],[Elapsed]],0))</f>
        <v/>
      </c>
      <c r="AB57" s="105" t="str">
        <f>IF(ISBLANK(Term1_Early_Dismissal_4[[#This Row],[Activity]]),"",IF(_xlfn.XLOOKUP(Term1_Early_Dismissal_4[[#This Row],[Activity]],Types_of_Activity[Type of Activity],Types_of_Activity[Classification])=2,Term1_Early_Dismissal_4[[#This Row],[Elapsed]],0))</f>
        <v/>
      </c>
      <c r="AD57" s="135"/>
      <c r="AE57" s="135"/>
      <c r="AF57" s="102"/>
      <c r="AG57" s="105" t="str">
        <f>IF(OR(ISBLANK(Term1_Early_Dismissal_5[[#This Row],[Start]]),ISBLANK(Term1_Early_Dismissal_5[[#This Row],[End]])),"",(Term1_Early_Dismissal_5[[#This Row],[End]]-Term1_Early_Dismissal_5[[#This Row],[Start]])*1440)</f>
        <v/>
      </c>
      <c r="AH57" s="105" t="str">
        <f>IF(ISBLANK(Term1_Early_Dismissal_5[[#This Row],[Activity]]),"",IF(_xlfn.XLOOKUP(Term1_Early_Dismissal_5[[#This Row],[Activity]],Types_of_Activity[Type of Activity],Types_of_Activity[Classification])=1,Term1_Early_Dismissal_5[[#This Row],[Elapsed]],0))</f>
        <v/>
      </c>
      <c r="AI57" s="105" t="str">
        <f>IF(ISBLANK(Term1_Early_Dismissal_5[[#This Row],[Activity]]),"",IF(_xlfn.XLOOKUP(Term1_Early_Dismissal_5[[#This Row],[Activity]],Types_of_Activity[Type of Activity],Types_of_Activity[Classification])=2,Term1_Early_Dismissal_5[[#This Row],[Elapsed]],0))</f>
        <v/>
      </c>
      <c r="AK57" s="135"/>
      <c r="AL57" s="135"/>
      <c r="AM57" s="102"/>
      <c r="AN57" s="105" t="str">
        <f>IF(OR(ISBLANK(Term1_Early_Dismissal_6[[#This Row],[Start]]),ISBLANK(Term1_Early_Dismissal_6[[#This Row],[End]])),"",(Term1_Early_Dismissal_6[[#This Row],[End]]-Term1_Early_Dismissal_6[[#This Row],[Start]])*1440)</f>
        <v/>
      </c>
      <c r="AO57" s="105" t="str">
        <f>IF(ISBLANK(Term1_Early_Dismissal_6[[#This Row],[Activity]]),"",IF(_xlfn.XLOOKUP(Term1_Early_Dismissal_6[[#This Row],[Activity]],Types_of_Activity[Type of Activity],Types_of_Activity[Classification])=1,Term1_Early_Dismissal_6[[#This Row],[Elapsed]],0))</f>
        <v/>
      </c>
      <c r="AP57" s="105" t="str">
        <f>IF(ISBLANK(Term1_Early_Dismissal_6[[#This Row],[Activity]]),"",IF(_xlfn.XLOOKUP(Term1_Early_Dismissal_6[[#This Row],[Activity]],Types_of_Activity[Type of Activity],Types_of_Activity[Classification])=2,Term1_Early_Dismissal_6[[#This Row],[Elapsed]],0))</f>
        <v/>
      </c>
    </row>
    <row r="58" spans="2:71" x14ac:dyDescent="0.3">
      <c r="B58" s="135"/>
      <c r="C58" s="135"/>
      <c r="D58" s="102"/>
      <c r="E58" s="105" t="str">
        <f>IF(OR(ISBLANK(Term1_Early_Dismissal_1[[#This Row],[Start]]),ISBLANK(Term1_Early_Dismissal_1[[#This Row],[End]])),"",(Term1_Early_Dismissal_1[[#This Row],[End]]-Term1_Early_Dismissal_1[[#This Row],[Start]])*1440)</f>
        <v/>
      </c>
      <c r="F58" s="105" t="str">
        <f>IF(ISBLANK(Term1_Early_Dismissal_1[[#This Row],[Activity]]),"",IF(_xlfn.XLOOKUP(Term1_Early_Dismissal_1[[#This Row],[Activity]],Types_of_Activity[Type of Activity],Types_of_Activity[Classification])=1,Term1_Early_Dismissal_1[[#This Row],[Elapsed]],0))</f>
        <v/>
      </c>
      <c r="G58" s="105" t="str">
        <f>IF(ISBLANK(Term1_Early_Dismissal_1[[#This Row],[Activity]]),"",IF(_xlfn.XLOOKUP(Term1_Early_Dismissal_1[[#This Row],[Activity]],Types_of_Activity[Type of Activity],Types_of_Activity[Classification])=2,Term1_Early_Dismissal_1[[#This Row],[Elapsed]],0))</f>
        <v/>
      </c>
      <c r="H58"/>
      <c r="I58" s="135"/>
      <c r="J58" s="135"/>
      <c r="K58" s="102"/>
      <c r="L58" s="105" t="str">
        <f>IF(OR(ISBLANK(Term1_Early_Dismissal_2[[#This Row],[Start]]),ISBLANK(Term1_Early_Dismissal_2[[#This Row],[End]])),"",(Term1_Early_Dismissal_2[[#This Row],[End]]-Term1_Early_Dismissal_2[[#This Row],[Start]])*1440)</f>
        <v/>
      </c>
      <c r="M58" s="105" t="str">
        <f>IF(ISBLANK(Term1_Early_Dismissal_2[[#This Row],[Activity]]),"",IF(_xlfn.XLOOKUP(Term1_Early_Dismissal_2[[#This Row],[Activity]],Types_of_Activity[Type of Activity],Types_of_Activity[Classification])=1,Term1_Early_Dismissal_2[[#This Row],[Elapsed]],0))</f>
        <v/>
      </c>
      <c r="N58" s="105" t="str">
        <f>IF(ISBLANK(Term1_Early_Dismissal_2[[#This Row],[Activity]]),"",IF(_xlfn.XLOOKUP(Term1_Early_Dismissal_2[[#This Row],[Activity]],Types_of_Activity[Type of Activity],Types_of_Activity[Classification])=2,Term1_Early_Dismissal_2[[#This Row],[Elapsed]],0))</f>
        <v/>
      </c>
      <c r="O58"/>
      <c r="P58" s="135"/>
      <c r="Q58" s="135"/>
      <c r="R58" s="102"/>
      <c r="S58" s="105" t="str">
        <f>IF(OR(ISBLANK(Term1_Early_Dismissal_3[[#This Row],[Start]]),ISBLANK(Term1_Early_Dismissal_3[[#This Row],[End]])),"",(Term1_Early_Dismissal_3[[#This Row],[End]]-Term1_Early_Dismissal_3[[#This Row],[Start]])*1440)</f>
        <v/>
      </c>
      <c r="T58" s="105" t="str">
        <f>IF(ISBLANK(Term1_Early_Dismissal_3[[#This Row],[Activity]]),"",IF(_xlfn.XLOOKUP(Term1_Early_Dismissal_3[[#This Row],[Activity]],Types_of_Activity[Type of Activity],Types_of_Activity[Classification])=1,Term1_Early_Dismissal_3[[#This Row],[Elapsed]],0))</f>
        <v/>
      </c>
      <c r="U58" s="105" t="str">
        <f>IF(ISBLANK(Term1_Early_Dismissal_3[[#This Row],[Activity]]),"",IF(_xlfn.XLOOKUP(Term1_Early_Dismissal_3[[#This Row],[Activity]],Types_of_Activity[Type of Activity],Types_of_Activity[Classification])=2,Term1_Early_Dismissal_3[[#This Row],[Elapsed]],0))</f>
        <v/>
      </c>
      <c r="W58" s="135"/>
      <c r="X58" s="135"/>
      <c r="Y58" s="102"/>
      <c r="Z58" s="105" t="str">
        <f>IF(OR(ISBLANK(Term1_Early_Dismissal_4[[#This Row],[Start]]),ISBLANK(Term1_Early_Dismissal_4[[#This Row],[End]])),"",(Term1_Early_Dismissal_4[[#This Row],[End]]-Term1_Early_Dismissal_4[[#This Row],[Start]])*1440)</f>
        <v/>
      </c>
      <c r="AA58" s="105" t="str">
        <f>IF(ISBLANK(Term1_Early_Dismissal_4[[#This Row],[Activity]]),"",IF(_xlfn.XLOOKUP(Term1_Early_Dismissal_4[[#This Row],[Activity]],Types_of_Activity[Type of Activity],Types_of_Activity[Classification])=1,Term1_Early_Dismissal_4[[#This Row],[Elapsed]],0))</f>
        <v/>
      </c>
      <c r="AB58" s="105" t="str">
        <f>IF(ISBLANK(Term1_Early_Dismissal_4[[#This Row],[Activity]]),"",IF(_xlfn.XLOOKUP(Term1_Early_Dismissal_4[[#This Row],[Activity]],Types_of_Activity[Type of Activity],Types_of_Activity[Classification])=2,Term1_Early_Dismissal_4[[#This Row],[Elapsed]],0))</f>
        <v/>
      </c>
      <c r="AD58" s="135"/>
      <c r="AE58" s="135"/>
      <c r="AF58" s="102"/>
      <c r="AG58" s="105" t="str">
        <f>IF(OR(ISBLANK(Term1_Early_Dismissal_5[[#This Row],[Start]]),ISBLANK(Term1_Early_Dismissal_5[[#This Row],[End]])),"",(Term1_Early_Dismissal_5[[#This Row],[End]]-Term1_Early_Dismissal_5[[#This Row],[Start]])*1440)</f>
        <v/>
      </c>
      <c r="AH58" s="105" t="str">
        <f>IF(ISBLANK(Term1_Early_Dismissal_5[[#This Row],[Activity]]),"",IF(_xlfn.XLOOKUP(Term1_Early_Dismissal_5[[#This Row],[Activity]],Types_of_Activity[Type of Activity],Types_of_Activity[Classification])=1,Term1_Early_Dismissal_5[[#This Row],[Elapsed]],0))</f>
        <v/>
      </c>
      <c r="AI58" s="105" t="str">
        <f>IF(ISBLANK(Term1_Early_Dismissal_5[[#This Row],[Activity]]),"",IF(_xlfn.XLOOKUP(Term1_Early_Dismissal_5[[#This Row],[Activity]],Types_of_Activity[Type of Activity],Types_of_Activity[Classification])=2,Term1_Early_Dismissal_5[[#This Row],[Elapsed]],0))</f>
        <v/>
      </c>
      <c r="AK58" s="135"/>
      <c r="AL58" s="135"/>
      <c r="AM58" s="102"/>
      <c r="AN58" s="105" t="str">
        <f>IF(OR(ISBLANK(Term1_Early_Dismissal_6[[#This Row],[Start]]),ISBLANK(Term1_Early_Dismissal_6[[#This Row],[End]])),"",(Term1_Early_Dismissal_6[[#This Row],[End]]-Term1_Early_Dismissal_6[[#This Row],[Start]])*1440)</f>
        <v/>
      </c>
      <c r="AO58" s="105" t="str">
        <f>IF(ISBLANK(Term1_Early_Dismissal_6[[#This Row],[Activity]]),"",IF(_xlfn.XLOOKUP(Term1_Early_Dismissal_6[[#This Row],[Activity]],Types_of_Activity[Type of Activity],Types_of_Activity[Classification])=1,Term1_Early_Dismissal_6[[#This Row],[Elapsed]],0))</f>
        <v/>
      </c>
      <c r="AP58" s="105" t="str">
        <f>IF(ISBLANK(Term1_Early_Dismissal_6[[#This Row],[Activity]]),"",IF(_xlfn.XLOOKUP(Term1_Early_Dismissal_6[[#This Row],[Activity]],Types_of_Activity[Type of Activity],Types_of_Activity[Classification])=2,Term1_Early_Dismissal_6[[#This Row],[Elapsed]],0))</f>
        <v/>
      </c>
    </row>
    <row r="59" spans="2:71" x14ac:dyDescent="0.3">
      <c r="B59" s="135"/>
      <c r="C59" s="135"/>
      <c r="D59" s="102"/>
      <c r="E59" s="105" t="str">
        <f>IF(OR(ISBLANK(Term1_Early_Dismissal_1[[#This Row],[Start]]),ISBLANK(Term1_Early_Dismissal_1[[#This Row],[End]])),"",(Term1_Early_Dismissal_1[[#This Row],[End]]-Term1_Early_Dismissal_1[[#This Row],[Start]])*1440)</f>
        <v/>
      </c>
      <c r="F59" s="105" t="str">
        <f>IF(ISBLANK(Term1_Early_Dismissal_1[[#This Row],[Activity]]),"",IF(_xlfn.XLOOKUP(Term1_Early_Dismissal_1[[#This Row],[Activity]],Types_of_Activity[Type of Activity],Types_of_Activity[Classification])=1,Term1_Early_Dismissal_1[[#This Row],[Elapsed]],0))</f>
        <v/>
      </c>
      <c r="G59" s="105" t="str">
        <f>IF(ISBLANK(Term1_Early_Dismissal_1[[#This Row],[Activity]]),"",IF(_xlfn.XLOOKUP(Term1_Early_Dismissal_1[[#This Row],[Activity]],Types_of_Activity[Type of Activity],Types_of_Activity[Classification])=2,Term1_Early_Dismissal_1[[#This Row],[Elapsed]],0))</f>
        <v/>
      </c>
      <c r="H59"/>
      <c r="I59" s="135"/>
      <c r="J59" s="135"/>
      <c r="K59" s="102"/>
      <c r="L59" s="105" t="str">
        <f>IF(OR(ISBLANK(Term1_Early_Dismissal_2[[#This Row],[Start]]),ISBLANK(Term1_Early_Dismissal_2[[#This Row],[End]])),"",(Term1_Early_Dismissal_2[[#This Row],[End]]-Term1_Early_Dismissal_2[[#This Row],[Start]])*1440)</f>
        <v/>
      </c>
      <c r="M59" s="105" t="str">
        <f>IF(ISBLANK(Term1_Early_Dismissal_2[[#This Row],[Activity]]),"",IF(_xlfn.XLOOKUP(Term1_Early_Dismissal_2[[#This Row],[Activity]],Types_of_Activity[Type of Activity],Types_of_Activity[Classification])=1,Term1_Early_Dismissal_2[[#This Row],[Elapsed]],0))</f>
        <v/>
      </c>
      <c r="N59" s="105" t="str">
        <f>IF(ISBLANK(Term1_Early_Dismissal_2[[#This Row],[Activity]]),"",IF(_xlfn.XLOOKUP(Term1_Early_Dismissal_2[[#This Row],[Activity]],Types_of_Activity[Type of Activity],Types_of_Activity[Classification])=2,Term1_Early_Dismissal_2[[#This Row],[Elapsed]],0))</f>
        <v/>
      </c>
      <c r="O59"/>
      <c r="P59" s="135"/>
      <c r="Q59" s="135"/>
      <c r="R59" s="102"/>
      <c r="S59" s="105" t="str">
        <f>IF(OR(ISBLANK(Term1_Early_Dismissal_3[[#This Row],[Start]]),ISBLANK(Term1_Early_Dismissal_3[[#This Row],[End]])),"",(Term1_Early_Dismissal_3[[#This Row],[End]]-Term1_Early_Dismissal_3[[#This Row],[Start]])*1440)</f>
        <v/>
      </c>
      <c r="T59" s="105" t="str">
        <f>IF(ISBLANK(Term1_Early_Dismissal_3[[#This Row],[Activity]]),"",IF(_xlfn.XLOOKUP(Term1_Early_Dismissal_3[[#This Row],[Activity]],Types_of_Activity[Type of Activity],Types_of_Activity[Classification])=1,Term1_Early_Dismissal_3[[#This Row],[Elapsed]],0))</f>
        <v/>
      </c>
      <c r="U59" s="105" t="str">
        <f>IF(ISBLANK(Term1_Early_Dismissal_3[[#This Row],[Activity]]),"",IF(_xlfn.XLOOKUP(Term1_Early_Dismissal_3[[#This Row],[Activity]],Types_of_Activity[Type of Activity],Types_of_Activity[Classification])=2,Term1_Early_Dismissal_3[[#This Row],[Elapsed]],0))</f>
        <v/>
      </c>
      <c r="W59" s="135"/>
      <c r="X59" s="135"/>
      <c r="Y59" s="102"/>
      <c r="Z59" s="105" t="str">
        <f>IF(OR(ISBLANK(Term1_Early_Dismissal_4[[#This Row],[Start]]),ISBLANK(Term1_Early_Dismissal_4[[#This Row],[End]])),"",(Term1_Early_Dismissal_4[[#This Row],[End]]-Term1_Early_Dismissal_4[[#This Row],[Start]])*1440)</f>
        <v/>
      </c>
      <c r="AA59" s="105" t="str">
        <f>IF(ISBLANK(Term1_Early_Dismissal_4[[#This Row],[Activity]]),"",IF(_xlfn.XLOOKUP(Term1_Early_Dismissal_4[[#This Row],[Activity]],Types_of_Activity[Type of Activity],Types_of_Activity[Classification])=1,Term1_Early_Dismissal_4[[#This Row],[Elapsed]],0))</f>
        <v/>
      </c>
      <c r="AB59" s="105" t="str">
        <f>IF(ISBLANK(Term1_Early_Dismissal_4[[#This Row],[Activity]]),"",IF(_xlfn.XLOOKUP(Term1_Early_Dismissal_4[[#This Row],[Activity]],Types_of_Activity[Type of Activity],Types_of_Activity[Classification])=2,Term1_Early_Dismissal_4[[#This Row],[Elapsed]],0))</f>
        <v/>
      </c>
      <c r="AD59" s="135"/>
      <c r="AE59" s="135"/>
      <c r="AF59" s="102"/>
      <c r="AG59" s="105" t="str">
        <f>IF(OR(ISBLANK(Term1_Early_Dismissal_5[[#This Row],[Start]]),ISBLANK(Term1_Early_Dismissal_5[[#This Row],[End]])),"",(Term1_Early_Dismissal_5[[#This Row],[End]]-Term1_Early_Dismissal_5[[#This Row],[Start]])*1440)</f>
        <v/>
      </c>
      <c r="AH59" s="105" t="str">
        <f>IF(ISBLANK(Term1_Early_Dismissal_5[[#This Row],[Activity]]),"",IF(_xlfn.XLOOKUP(Term1_Early_Dismissal_5[[#This Row],[Activity]],Types_of_Activity[Type of Activity],Types_of_Activity[Classification])=1,Term1_Early_Dismissal_5[[#This Row],[Elapsed]],0))</f>
        <v/>
      </c>
      <c r="AI59" s="105" t="str">
        <f>IF(ISBLANK(Term1_Early_Dismissal_5[[#This Row],[Activity]]),"",IF(_xlfn.XLOOKUP(Term1_Early_Dismissal_5[[#This Row],[Activity]],Types_of_Activity[Type of Activity],Types_of_Activity[Classification])=2,Term1_Early_Dismissal_5[[#This Row],[Elapsed]],0))</f>
        <v/>
      </c>
      <c r="AK59" s="135"/>
      <c r="AL59" s="135"/>
      <c r="AM59" s="102"/>
      <c r="AN59" s="105" t="str">
        <f>IF(OR(ISBLANK(Term1_Early_Dismissal_6[[#This Row],[Start]]),ISBLANK(Term1_Early_Dismissal_6[[#This Row],[End]])),"",(Term1_Early_Dismissal_6[[#This Row],[End]]-Term1_Early_Dismissal_6[[#This Row],[Start]])*1440)</f>
        <v/>
      </c>
      <c r="AO59" s="105" t="str">
        <f>IF(ISBLANK(Term1_Early_Dismissal_6[[#This Row],[Activity]]),"",IF(_xlfn.XLOOKUP(Term1_Early_Dismissal_6[[#This Row],[Activity]],Types_of_Activity[Type of Activity],Types_of_Activity[Classification])=1,Term1_Early_Dismissal_6[[#This Row],[Elapsed]],0))</f>
        <v/>
      </c>
      <c r="AP59" s="105" t="str">
        <f>IF(ISBLANK(Term1_Early_Dismissal_6[[#This Row],[Activity]]),"",IF(_xlfn.XLOOKUP(Term1_Early_Dismissal_6[[#This Row],[Activity]],Types_of_Activity[Type of Activity],Types_of_Activity[Classification])=2,Term1_Early_Dismissal_6[[#This Row],[Elapsed]],0))</f>
        <v/>
      </c>
    </row>
    <row r="60" spans="2:71" x14ac:dyDescent="0.3">
      <c r="B60" s="135"/>
      <c r="C60" s="135"/>
      <c r="D60" s="102"/>
      <c r="E60" s="105" t="str">
        <f>IF(OR(ISBLANK(Term1_Early_Dismissal_1[[#This Row],[Start]]),ISBLANK(Term1_Early_Dismissal_1[[#This Row],[End]])),"",(Term1_Early_Dismissal_1[[#This Row],[End]]-Term1_Early_Dismissal_1[[#This Row],[Start]])*1440)</f>
        <v/>
      </c>
      <c r="F60" s="105" t="str">
        <f>IF(ISBLANK(Term1_Early_Dismissal_1[[#This Row],[Activity]]),"",IF(_xlfn.XLOOKUP(Term1_Early_Dismissal_1[[#This Row],[Activity]],Types_of_Activity[Type of Activity],Types_of_Activity[Classification])=1,Term1_Early_Dismissal_1[[#This Row],[Elapsed]],0))</f>
        <v/>
      </c>
      <c r="G60" s="105" t="str">
        <f>IF(ISBLANK(Term1_Early_Dismissal_1[[#This Row],[Activity]]),"",IF(_xlfn.XLOOKUP(Term1_Early_Dismissal_1[[#This Row],[Activity]],Types_of_Activity[Type of Activity],Types_of_Activity[Classification])=2,Term1_Early_Dismissal_1[[#This Row],[Elapsed]],0))</f>
        <v/>
      </c>
      <c r="H60"/>
      <c r="I60" s="135"/>
      <c r="J60" s="135"/>
      <c r="K60" s="102"/>
      <c r="L60" s="105" t="str">
        <f>IF(OR(ISBLANK(Term1_Early_Dismissal_2[[#This Row],[Start]]),ISBLANK(Term1_Early_Dismissal_2[[#This Row],[End]])),"",(Term1_Early_Dismissal_2[[#This Row],[End]]-Term1_Early_Dismissal_2[[#This Row],[Start]])*1440)</f>
        <v/>
      </c>
      <c r="M60" s="105" t="str">
        <f>IF(ISBLANK(Term1_Early_Dismissal_2[[#This Row],[Activity]]),"",IF(_xlfn.XLOOKUP(Term1_Early_Dismissal_2[[#This Row],[Activity]],Types_of_Activity[Type of Activity],Types_of_Activity[Classification])=1,Term1_Early_Dismissal_2[[#This Row],[Elapsed]],0))</f>
        <v/>
      </c>
      <c r="N60" s="105" t="str">
        <f>IF(ISBLANK(Term1_Early_Dismissal_2[[#This Row],[Activity]]),"",IF(_xlfn.XLOOKUP(Term1_Early_Dismissal_2[[#This Row],[Activity]],Types_of_Activity[Type of Activity],Types_of_Activity[Classification])=2,Term1_Early_Dismissal_2[[#This Row],[Elapsed]],0))</f>
        <v/>
      </c>
      <c r="O60"/>
      <c r="P60" s="135"/>
      <c r="Q60" s="135"/>
      <c r="R60" s="102"/>
      <c r="S60" s="105" t="str">
        <f>IF(OR(ISBLANK(Term1_Early_Dismissal_3[[#This Row],[Start]]),ISBLANK(Term1_Early_Dismissal_3[[#This Row],[End]])),"",(Term1_Early_Dismissal_3[[#This Row],[End]]-Term1_Early_Dismissal_3[[#This Row],[Start]])*1440)</f>
        <v/>
      </c>
      <c r="T60" s="105" t="str">
        <f>IF(ISBLANK(Term1_Early_Dismissal_3[[#This Row],[Activity]]),"",IF(_xlfn.XLOOKUP(Term1_Early_Dismissal_3[[#This Row],[Activity]],Types_of_Activity[Type of Activity],Types_of_Activity[Classification])=1,Term1_Early_Dismissal_3[[#This Row],[Elapsed]],0))</f>
        <v/>
      </c>
      <c r="U60" s="105" t="str">
        <f>IF(ISBLANK(Term1_Early_Dismissal_3[[#This Row],[Activity]]),"",IF(_xlfn.XLOOKUP(Term1_Early_Dismissal_3[[#This Row],[Activity]],Types_of_Activity[Type of Activity],Types_of_Activity[Classification])=2,Term1_Early_Dismissal_3[[#This Row],[Elapsed]],0))</f>
        <v/>
      </c>
      <c r="W60" s="135"/>
      <c r="X60" s="135"/>
      <c r="Y60" s="102"/>
      <c r="Z60" s="105" t="str">
        <f>IF(OR(ISBLANK(Term1_Early_Dismissal_4[[#This Row],[Start]]),ISBLANK(Term1_Early_Dismissal_4[[#This Row],[End]])),"",(Term1_Early_Dismissal_4[[#This Row],[End]]-Term1_Early_Dismissal_4[[#This Row],[Start]])*1440)</f>
        <v/>
      </c>
      <c r="AA60" s="105" t="str">
        <f>IF(ISBLANK(Term1_Early_Dismissal_4[[#This Row],[Activity]]),"",IF(_xlfn.XLOOKUP(Term1_Early_Dismissal_4[[#This Row],[Activity]],Types_of_Activity[Type of Activity],Types_of_Activity[Classification])=1,Term1_Early_Dismissal_4[[#This Row],[Elapsed]],0))</f>
        <v/>
      </c>
      <c r="AB60" s="105" t="str">
        <f>IF(ISBLANK(Term1_Early_Dismissal_4[[#This Row],[Activity]]),"",IF(_xlfn.XLOOKUP(Term1_Early_Dismissal_4[[#This Row],[Activity]],Types_of_Activity[Type of Activity],Types_of_Activity[Classification])=2,Term1_Early_Dismissal_4[[#This Row],[Elapsed]],0))</f>
        <v/>
      </c>
      <c r="AD60" s="135"/>
      <c r="AE60" s="135"/>
      <c r="AF60" s="102"/>
      <c r="AG60" s="105" t="str">
        <f>IF(OR(ISBLANK(Term1_Early_Dismissal_5[[#This Row],[Start]]),ISBLANK(Term1_Early_Dismissal_5[[#This Row],[End]])),"",(Term1_Early_Dismissal_5[[#This Row],[End]]-Term1_Early_Dismissal_5[[#This Row],[Start]])*1440)</f>
        <v/>
      </c>
      <c r="AH60" s="105" t="str">
        <f>IF(ISBLANK(Term1_Early_Dismissal_5[[#This Row],[Activity]]),"",IF(_xlfn.XLOOKUP(Term1_Early_Dismissal_5[[#This Row],[Activity]],Types_of_Activity[Type of Activity],Types_of_Activity[Classification])=1,Term1_Early_Dismissal_5[[#This Row],[Elapsed]],0))</f>
        <v/>
      </c>
      <c r="AI60" s="105" t="str">
        <f>IF(ISBLANK(Term1_Early_Dismissal_5[[#This Row],[Activity]]),"",IF(_xlfn.XLOOKUP(Term1_Early_Dismissal_5[[#This Row],[Activity]],Types_of_Activity[Type of Activity],Types_of_Activity[Classification])=2,Term1_Early_Dismissal_5[[#This Row],[Elapsed]],0))</f>
        <v/>
      </c>
      <c r="AK60" s="135"/>
      <c r="AL60" s="135"/>
      <c r="AM60" s="102"/>
      <c r="AN60" s="105" t="str">
        <f>IF(OR(ISBLANK(Term1_Early_Dismissal_6[[#This Row],[Start]]),ISBLANK(Term1_Early_Dismissal_6[[#This Row],[End]])),"",(Term1_Early_Dismissal_6[[#This Row],[End]]-Term1_Early_Dismissal_6[[#This Row],[Start]])*1440)</f>
        <v/>
      </c>
      <c r="AO60" s="105" t="str">
        <f>IF(ISBLANK(Term1_Early_Dismissal_6[[#This Row],[Activity]]),"",IF(_xlfn.XLOOKUP(Term1_Early_Dismissal_6[[#This Row],[Activity]],Types_of_Activity[Type of Activity],Types_of_Activity[Classification])=1,Term1_Early_Dismissal_6[[#This Row],[Elapsed]],0))</f>
        <v/>
      </c>
      <c r="AP60" s="105" t="str">
        <f>IF(ISBLANK(Term1_Early_Dismissal_6[[#This Row],[Activity]]),"",IF(_xlfn.XLOOKUP(Term1_Early_Dismissal_6[[#This Row],[Activity]],Types_of_Activity[Type of Activity],Types_of_Activity[Classification])=2,Term1_Early_Dismissal_6[[#This Row],[Elapsed]],0))</f>
        <v/>
      </c>
    </row>
    <row r="61" spans="2:71" x14ac:dyDescent="0.3">
      <c r="B61" s="135"/>
      <c r="C61" s="135"/>
      <c r="D61" s="102"/>
      <c r="E61" s="105" t="str">
        <f>IF(OR(ISBLANK(Term1_Early_Dismissal_1[[#This Row],[Start]]),ISBLANK(Term1_Early_Dismissal_1[[#This Row],[End]])),"",(Term1_Early_Dismissal_1[[#This Row],[End]]-Term1_Early_Dismissal_1[[#This Row],[Start]])*1440)</f>
        <v/>
      </c>
      <c r="F61" s="105" t="str">
        <f>IF(ISBLANK(Term1_Early_Dismissal_1[[#This Row],[Activity]]),"",IF(_xlfn.XLOOKUP(Term1_Early_Dismissal_1[[#This Row],[Activity]],Types_of_Activity[Type of Activity],Types_of_Activity[Classification])=1,Term1_Early_Dismissal_1[[#This Row],[Elapsed]],0))</f>
        <v/>
      </c>
      <c r="G61" s="105" t="str">
        <f>IF(ISBLANK(Term1_Early_Dismissal_1[[#This Row],[Activity]]),"",IF(_xlfn.XLOOKUP(Term1_Early_Dismissal_1[[#This Row],[Activity]],Types_of_Activity[Type of Activity],Types_of_Activity[Classification])=2,Term1_Early_Dismissal_1[[#This Row],[Elapsed]],0))</f>
        <v/>
      </c>
      <c r="H61"/>
      <c r="I61" s="135"/>
      <c r="J61" s="135"/>
      <c r="K61" s="102"/>
      <c r="L61" s="105" t="str">
        <f>IF(OR(ISBLANK(Term1_Early_Dismissal_2[[#This Row],[Start]]),ISBLANK(Term1_Early_Dismissal_2[[#This Row],[End]])),"",(Term1_Early_Dismissal_2[[#This Row],[End]]-Term1_Early_Dismissal_2[[#This Row],[Start]])*1440)</f>
        <v/>
      </c>
      <c r="M61" s="105" t="str">
        <f>IF(ISBLANK(Term1_Early_Dismissal_2[[#This Row],[Activity]]),"",IF(_xlfn.XLOOKUP(Term1_Early_Dismissal_2[[#This Row],[Activity]],Types_of_Activity[Type of Activity],Types_of_Activity[Classification])=1,Term1_Early_Dismissal_2[[#This Row],[Elapsed]],0))</f>
        <v/>
      </c>
      <c r="N61" s="105" t="str">
        <f>IF(ISBLANK(Term1_Early_Dismissal_2[[#This Row],[Activity]]),"",IF(_xlfn.XLOOKUP(Term1_Early_Dismissal_2[[#This Row],[Activity]],Types_of_Activity[Type of Activity],Types_of_Activity[Classification])=2,Term1_Early_Dismissal_2[[#This Row],[Elapsed]],0))</f>
        <v/>
      </c>
      <c r="O61"/>
      <c r="P61" s="135"/>
      <c r="Q61" s="135"/>
      <c r="R61" s="102"/>
      <c r="S61" s="105" t="str">
        <f>IF(OR(ISBLANK(Term1_Early_Dismissal_3[[#This Row],[Start]]),ISBLANK(Term1_Early_Dismissal_3[[#This Row],[End]])),"",(Term1_Early_Dismissal_3[[#This Row],[End]]-Term1_Early_Dismissal_3[[#This Row],[Start]])*1440)</f>
        <v/>
      </c>
      <c r="T61" s="105" t="str">
        <f>IF(ISBLANK(Term1_Early_Dismissal_3[[#This Row],[Activity]]),"",IF(_xlfn.XLOOKUP(Term1_Early_Dismissal_3[[#This Row],[Activity]],Types_of_Activity[Type of Activity],Types_of_Activity[Classification])=1,Term1_Early_Dismissal_3[[#This Row],[Elapsed]],0))</f>
        <v/>
      </c>
      <c r="U61" s="105" t="str">
        <f>IF(ISBLANK(Term1_Early_Dismissal_3[[#This Row],[Activity]]),"",IF(_xlfn.XLOOKUP(Term1_Early_Dismissal_3[[#This Row],[Activity]],Types_of_Activity[Type of Activity],Types_of_Activity[Classification])=2,Term1_Early_Dismissal_3[[#This Row],[Elapsed]],0))</f>
        <v/>
      </c>
      <c r="W61" s="135"/>
      <c r="X61" s="135"/>
      <c r="Y61" s="102"/>
      <c r="Z61" s="105" t="str">
        <f>IF(OR(ISBLANK(Term1_Early_Dismissal_4[[#This Row],[Start]]),ISBLANK(Term1_Early_Dismissal_4[[#This Row],[End]])),"",(Term1_Early_Dismissal_4[[#This Row],[End]]-Term1_Early_Dismissal_4[[#This Row],[Start]])*1440)</f>
        <v/>
      </c>
      <c r="AA61" s="105" t="str">
        <f>IF(ISBLANK(Term1_Early_Dismissal_4[[#This Row],[Activity]]),"",IF(_xlfn.XLOOKUP(Term1_Early_Dismissal_4[[#This Row],[Activity]],Types_of_Activity[Type of Activity],Types_of_Activity[Classification])=1,Term1_Early_Dismissal_4[[#This Row],[Elapsed]],0))</f>
        <v/>
      </c>
      <c r="AB61" s="105" t="str">
        <f>IF(ISBLANK(Term1_Early_Dismissal_4[[#This Row],[Activity]]),"",IF(_xlfn.XLOOKUP(Term1_Early_Dismissal_4[[#This Row],[Activity]],Types_of_Activity[Type of Activity],Types_of_Activity[Classification])=2,Term1_Early_Dismissal_4[[#This Row],[Elapsed]],0))</f>
        <v/>
      </c>
      <c r="AD61" s="135"/>
      <c r="AE61" s="135"/>
      <c r="AF61" s="102"/>
      <c r="AG61" s="105" t="str">
        <f>IF(OR(ISBLANK(Term1_Early_Dismissal_5[[#This Row],[Start]]),ISBLANK(Term1_Early_Dismissal_5[[#This Row],[End]])),"",(Term1_Early_Dismissal_5[[#This Row],[End]]-Term1_Early_Dismissal_5[[#This Row],[Start]])*1440)</f>
        <v/>
      </c>
      <c r="AH61" s="105" t="str">
        <f>IF(ISBLANK(Term1_Early_Dismissal_5[[#This Row],[Activity]]),"",IF(_xlfn.XLOOKUP(Term1_Early_Dismissal_5[[#This Row],[Activity]],Types_of_Activity[Type of Activity],Types_of_Activity[Classification])=1,Term1_Early_Dismissal_5[[#This Row],[Elapsed]],0))</f>
        <v/>
      </c>
      <c r="AI61" s="105" t="str">
        <f>IF(ISBLANK(Term1_Early_Dismissal_5[[#This Row],[Activity]]),"",IF(_xlfn.XLOOKUP(Term1_Early_Dismissal_5[[#This Row],[Activity]],Types_of_Activity[Type of Activity],Types_of_Activity[Classification])=2,Term1_Early_Dismissal_5[[#This Row],[Elapsed]],0))</f>
        <v/>
      </c>
      <c r="AK61" s="135"/>
      <c r="AL61" s="135"/>
      <c r="AM61" s="102"/>
      <c r="AN61" s="105" t="str">
        <f>IF(OR(ISBLANK(Term1_Early_Dismissal_6[[#This Row],[Start]]),ISBLANK(Term1_Early_Dismissal_6[[#This Row],[End]])),"",(Term1_Early_Dismissal_6[[#This Row],[End]]-Term1_Early_Dismissal_6[[#This Row],[Start]])*1440)</f>
        <v/>
      </c>
      <c r="AO61" s="105" t="str">
        <f>IF(ISBLANK(Term1_Early_Dismissal_6[[#This Row],[Activity]]),"",IF(_xlfn.XLOOKUP(Term1_Early_Dismissal_6[[#This Row],[Activity]],Types_of_Activity[Type of Activity],Types_of_Activity[Classification])=1,Term1_Early_Dismissal_6[[#This Row],[Elapsed]],0))</f>
        <v/>
      </c>
      <c r="AP61" s="105" t="str">
        <f>IF(ISBLANK(Term1_Early_Dismissal_6[[#This Row],[Activity]]),"",IF(_xlfn.XLOOKUP(Term1_Early_Dismissal_6[[#This Row],[Activity]],Types_of_Activity[Type of Activity],Types_of_Activity[Classification])=2,Term1_Early_Dismissal_6[[#This Row],[Elapsed]],0))</f>
        <v/>
      </c>
    </row>
    <row r="62" spans="2:71" x14ac:dyDescent="0.3">
      <c r="B62" s="135"/>
      <c r="C62" s="135"/>
      <c r="D62" s="102"/>
      <c r="E62" s="105" t="str">
        <f>IF(OR(ISBLANK(Term1_Early_Dismissal_1[[#This Row],[Start]]),ISBLANK(Term1_Early_Dismissal_1[[#This Row],[End]])),"",(Term1_Early_Dismissal_1[[#This Row],[End]]-Term1_Early_Dismissal_1[[#This Row],[Start]])*1440)</f>
        <v/>
      </c>
      <c r="F62" s="105" t="str">
        <f>IF(ISBLANK(Term1_Early_Dismissal_1[[#This Row],[Activity]]),"",IF(_xlfn.XLOOKUP(Term1_Early_Dismissal_1[[#This Row],[Activity]],Types_of_Activity[Type of Activity],Types_of_Activity[Classification])=1,Term1_Early_Dismissal_1[[#This Row],[Elapsed]],0))</f>
        <v/>
      </c>
      <c r="G62" s="105" t="str">
        <f>IF(ISBLANK(Term1_Early_Dismissal_1[[#This Row],[Activity]]),"",IF(_xlfn.XLOOKUP(Term1_Early_Dismissal_1[[#This Row],[Activity]],Types_of_Activity[Type of Activity],Types_of_Activity[Classification])=2,Term1_Early_Dismissal_1[[#This Row],[Elapsed]],0))</f>
        <v/>
      </c>
      <c r="H62"/>
      <c r="I62" s="135"/>
      <c r="J62" s="135"/>
      <c r="K62" s="102"/>
      <c r="L62" s="105" t="str">
        <f>IF(OR(ISBLANK(Term1_Early_Dismissal_2[[#This Row],[Start]]),ISBLANK(Term1_Early_Dismissal_2[[#This Row],[End]])),"",(Term1_Early_Dismissal_2[[#This Row],[End]]-Term1_Early_Dismissal_2[[#This Row],[Start]])*1440)</f>
        <v/>
      </c>
      <c r="M62" s="105" t="str">
        <f>IF(ISBLANK(Term1_Early_Dismissal_2[[#This Row],[Activity]]),"",IF(_xlfn.XLOOKUP(Term1_Early_Dismissal_2[[#This Row],[Activity]],Types_of_Activity[Type of Activity],Types_of_Activity[Classification])=1,Term1_Early_Dismissal_2[[#This Row],[Elapsed]],0))</f>
        <v/>
      </c>
      <c r="N62" s="105" t="str">
        <f>IF(ISBLANK(Term1_Early_Dismissal_2[[#This Row],[Activity]]),"",IF(_xlfn.XLOOKUP(Term1_Early_Dismissal_2[[#This Row],[Activity]],Types_of_Activity[Type of Activity],Types_of_Activity[Classification])=2,Term1_Early_Dismissal_2[[#This Row],[Elapsed]],0))</f>
        <v/>
      </c>
      <c r="O62"/>
      <c r="P62" s="135"/>
      <c r="Q62" s="135"/>
      <c r="R62" s="102"/>
      <c r="S62" s="105" t="str">
        <f>IF(OR(ISBLANK(Term1_Early_Dismissal_3[[#This Row],[Start]]),ISBLANK(Term1_Early_Dismissal_3[[#This Row],[End]])),"",(Term1_Early_Dismissal_3[[#This Row],[End]]-Term1_Early_Dismissal_3[[#This Row],[Start]])*1440)</f>
        <v/>
      </c>
      <c r="T62" s="105" t="str">
        <f>IF(ISBLANK(Term1_Early_Dismissal_3[[#This Row],[Activity]]),"",IF(_xlfn.XLOOKUP(Term1_Early_Dismissal_3[[#This Row],[Activity]],Types_of_Activity[Type of Activity],Types_of_Activity[Classification])=1,Term1_Early_Dismissal_3[[#This Row],[Elapsed]],0))</f>
        <v/>
      </c>
      <c r="U62" s="105" t="str">
        <f>IF(ISBLANK(Term1_Early_Dismissal_3[[#This Row],[Activity]]),"",IF(_xlfn.XLOOKUP(Term1_Early_Dismissal_3[[#This Row],[Activity]],Types_of_Activity[Type of Activity],Types_of_Activity[Classification])=2,Term1_Early_Dismissal_3[[#This Row],[Elapsed]],0))</f>
        <v/>
      </c>
      <c r="W62" s="135"/>
      <c r="X62" s="135"/>
      <c r="Y62" s="102"/>
      <c r="Z62" s="105" t="str">
        <f>IF(OR(ISBLANK(Term1_Early_Dismissal_4[[#This Row],[Start]]),ISBLANK(Term1_Early_Dismissal_4[[#This Row],[End]])),"",(Term1_Early_Dismissal_4[[#This Row],[End]]-Term1_Early_Dismissal_4[[#This Row],[Start]])*1440)</f>
        <v/>
      </c>
      <c r="AA62" s="105" t="str">
        <f>IF(ISBLANK(Term1_Early_Dismissal_4[[#This Row],[Activity]]),"",IF(_xlfn.XLOOKUP(Term1_Early_Dismissal_4[[#This Row],[Activity]],Types_of_Activity[Type of Activity],Types_of_Activity[Classification])=1,Term1_Early_Dismissal_4[[#This Row],[Elapsed]],0))</f>
        <v/>
      </c>
      <c r="AB62" s="105" t="str">
        <f>IF(ISBLANK(Term1_Early_Dismissal_4[[#This Row],[Activity]]),"",IF(_xlfn.XLOOKUP(Term1_Early_Dismissal_4[[#This Row],[Activity]],Types_of_Activity[Type of Activity],Types_of_Activity[Classification])=2,Term1_Early_Dismissal_4[[#This Row],[Elapsed]],0))</f>
        <v/>
      </c>
      <c r="AD62" s="135"/>
      <c r="AE62" s="135"/>
      <c r="AF62" s="102"/>
      <c r="AG62" s="105" t="str">
        <f>IF(OR(ISBLANK(Term1_Early_Dismissal_5[[#This Row],[Start]]),ISBLANK(Term1_Early_Dismissal_5[[#This Row],[End]])),"",(Term1_Early_Dismissal_5[[#This Row],[End]]-Term1_Early_Dismissal_5[[#This Row],[Start]])*1440)</f>
        <v/>
      </c>
      <c r="AH62" s="105" t="str">
        <f>IF(ISBLANK(Term1_Early_Dismissal_5[[#This Row],[Activity]]),"",IF(_xlfn.XLOOKUP(Term1_Early_Dismissal_5[[#This Row],[Activity]],Types_of_Activity[Type of Activity],Types_of_Activity[Classification])=1,Term1_Early_Dismissal_5[[#This Row],[Elapsed]],0))</f>
        <v/>
      </c>
      <c r="AI62" s="105" t="str">
        <f>IF(ISBLANK(Term1_Early_Dismissal_5[[#This Row],[Activity]]),"",IF(_xlfn.XLOOKUP(Term1_Early_Dismissal_5[[#This Row],[Activity]],Types_of_Activity[Type of Activity],Types_of_Activity[Classification])=2,Term1_Early_Dismissal_5[[#This Row],[Elapsed]],0))</f>
        <v/>
      </c>
      <c r="AK62" s="135"/>
      <c r="AL62" s="135"/>
      <c r="AM62" s="102"/>
      <c r="AN62" s="105" t="str">
        <f>IF(OR(ISBLANK(Term1_Early_Dismissal_6[[#This Row],[Start]]),ISBLANK(Term1_Early_Dismissal_6[[#This Row],[End]])),"",(Term1_Early_Dismissal_6[[#This Row],[End]]-Term1_Early_Dismissal_6[[#This Row],[Start]])*1440)</f>
        <v/>
      </c>
      <c r="AO62" s="105" t="str">
        <f>IF(ISBLANK(Term1_Early_Dismissal_6[[#This Row],[Activity]]),"",IF(_xlfn.XLOOKUP(Term1_Early_Dismissal_6[[#This Row],[Activity]],Types_of_Activity[Type of Activity],Types_of_Activity[Classification])=1,Term1_Early_Dismissal_6[[#This Row],[Elapsed]],0))</f>
        <v/>
      </c>
      <c r="AP62" s="105" t="str">
        <f>IF(ISBLANK(Term1_Early_Dismissal_6[[#This Row],[Activity]]),"",IF(_xlfn.XLOOKUP(Term1_Early_Dismissal_6[[#This Row],[Activity]],Types_of_Activity[Type of Activity],Types_of_Activity[Classification])=2,Term1_Early_Dismissal_6[[#This Row],[Elapsed]],0))</f>
        <v/>
      </c>
    </row>
    <row r="63" spans="2:71" x14ac:dyDescent="0.3">
      <c r="B63" s="135"/>
      <c r="C63" s="135"/>
      <c r="D63" s="102"/>
      <c r="E63" s="105" t="str">
        <f>IF(OR(ISBLANK(Term1_Early_Dismissal_1[[#This Row],[Start]]),ISBLANK(Term1_Early_Dismissal_1[[#This Row],[End]])),"",(Term1_Early_Dismissal_1[[#This Row],[End]]-Term1_Early_Dismissal_1[[#This Row],[Start]])*1440)</f>
        <v/>
      </c>
      <c r="F63" s="105" t="str">
        <f>IF(ISBLANK(Term1_Early_Dismissal_1[[#This Row],[Activity]]),"",IF(_xlfn.XLOOKUP(Term1_Early_Dismissal_1[[#This Row],[Activity]],Types_of_Activity[Type of Activity],Types_of_Activity[Classification])=1,Term1_Early_Dismissal_1[[#This Row],[Elapsed]],0))</f>
        <v/>
      </c>
      <c r="G63" s="105" t="str">
        <f>IF(ISBLANK(Term1_Early_Dismissal_1[[#This Row],[Activity]]),"",IF(_xlfn.XLOOKUP(Term1_Early_Dismissal_1[[#This Row],[Activity]],Types_of_Activity[Type of Activity],Types_of_Activity[Classification])=2,Term1_Early_Dismissal_1[[#This Row],[Elapsed]],0))</f>
        <v/>
      </c>
      <c r="H63"/>
      <c r="I63" s="135"/>
      <c r="J63" s="135"/>
      <c r="K63" s="102"/>
      <c r="L63" s="105" t="str">
        <f>IF(OR(ISBLANK(Term1_Early_Dismissal_2[[#This Row],[Start]]),ISBLANK(Term1_Early_Dismissal_2[[#This Row],[End]])),"",(Term1_Early_Dismissal_2[[#This Row],[End]]-Term1_Early_Dismissal_2[[#This Row],[Start]])*1440)</f>
        <v/>
      </c>
      <c r="M63" s="105" t="str">
        <f>IF(ISBLANK(Term1_Early_Dismissal_2[[#This Row],[Activity]]),"",IF(_xlfn.XLOOKUP(Term1_Early_Dismissal_2[[#This Row],[Activity]],Types_of_Activity[Type of Activity],Types_of_Activity[Classification])=1,Term1_Early_Dismissal_2[[#This Row],[Elapsed]],0))</f>
        <v/>
      </c>
      <c r="N63" s="105" t="str">
        <f>IF(ISBLANK(Term1_Early_Dismissal_2[[#This Row],[Activity]]),"",IF(_xlfn.XLOOKUP(Term1_Early_Dismissal_2[[#This Row],[Activity]],Types_of_Activity[Type of Activity],Types_of_Activity[Classification])=2,Term1_Early_Dismissal_2[[#This Row],[Elapsed]],0))</f>
        <v/>
      </c>
      <c r="O63"/>
      <c r="P63" s="135"/>
      <c r="Q63" s="135"/>
      <c r="R63" s="102"/>
      <c r="S63" s="105" t="str">
        <f>IF(OR(ISBLANK(Term1_Early_Dismissal_3[[#This Row],[Start]]),ISBLANK(Term1_Early_Dismissal_3[[#This Row],[End]])),"",(Term1_Early_Dismissal_3[[#This Row],[End]]-Term1_Early_Dismissal_3[[#This Row],[Start]])*1440)</f>
        <v/>
      </c>
      <c r="T63" s="105" t="str">
        <f>IF(ISBLANK(Term1_Early_Dismissal_3[[#This Row],[Activity]]),"",IF(_xlfn.XLOOKUP(Term1_Early_Dismissal_3[[#This Row],[Activity]],Types_of_Activity[Type of Activity],Types_of_Activity[Classification])=1,Term1_Early_Dismissal_3[[#This Row],[Elapsed]],0))</f>
        <v/>
      </c>
      <c r="U63" s="105" t="str">
        <f>IF(ISBLANK(Term1_Early_Dismissal_3[[#This Row],[Activity]]),"",IF(_xlfn.XLOOKUP(Term1_Early_Dismissal_3[[#This Row],[Activity]],Types_of_Activity[Type of Activity],Types_of_Activity[Classification])=2,Term1_Early_Dismissal_3[[#This Row],[Elapsed]],0))</f>
        <v/>
      </c>
      <c r="W63" s="135"/>
      <c r="X63" s="135"/>
      <c r="Y63" s="102"/>
      <c r="Z63" s="105" t="str">
        <f>IF(OR(ISBLANK(Term1_Early_Dismissal_4[[#This Row],[Start]]),ISBLANK(Term1_Early_Dismissal_4[[#This Row],[End]])),"",(Term1_Early_Dismissal_4[[#This Row],[End]]-Term1_Early_Dismissal_4[[#This Row],[Start]])*1440)</f>
        <v/>
      </c>
      <c r="AA63" s="105" t="str">
        <f>IF(ISBLANK(Term1_Early_Dismissal_4[[#This Row],[Activity]]),"",IF(_xlfn.XLOOKUP(Term1_Early_Dismissal_4[[#This Row],[Activity]],Types_of_Activity[Type of Activity],Types_of_Activity[Classification])=1,Term1_Early_Dismissal_4[[#This Row],[Elapsed]],0))</f>
        <v/>
      </c>
      <c r="AB63" s="105" t="str">
        <f>IF(ISBLANK(Term1_Early_Dismissal_4[[#This Row],[Activity]]),"",IF(_xlfn.XLOOKUP(Term1_Early_Dismissal_4[[#This Row],[Activity]],Types_of_Activity[Type of Activity],Types_of_Activity[Classification])=2,Term1_Early_Dismissal_4[[#This Row],[Elapsed]],0))</f>
        <v/>
      </c>
      <c r="AD63" s="135"/>
      <c r="AE63" s="135"/>
      <c r="AF63" s="102"/>
      <c r="AG63" s="105" t="str">
        <f>IF(OR(ISBLANK(Term1_Early_Dismissal_5[[#This Row],[Start]]),ISBLANK(Term1_Early_Dismissal_5[[#This Row],[End]])),"",(Term1_Early_Dismissal_5[[#This Row],[End]]-Term1_Early_Dismissal_5[[#This Row],[Start]])*1440)</f>
        <v/>
      </c>
      <c r="AH63" s="105" t="str">
        <f>IF(ISBLANK(Term1_Early_Dismissal_5[[#This Row],[Activity]]),"",IF(_xlfn.XLOOKUP(Term1_Early_Dismissal_5[[#This Row],[Activity]],Types_of_Activity[Type of Activity],Types_of_Activity[Classification])=1,Term1_Early_Dismissal_5[[#This Row],[Elapsed]],0))</f>
        <v/>
      </c>
      <c r="AI63" s="105" t="str">
        <f>IF(ISBLANK(Term1_Early_Dismissal_5[[#This Row],[Activity]]),"",IF(_xlfn.XLOOKUP(Term1_Early_Dismissal_5[[#This Row],[Activity]],Types_of_Activity[Type of Activity],Types_of_Activity[Classification])=2,Term1_Early_Dismissal_5[[#This Row],[Elapsed]],0))</f>
        <v/>
      </c>
      <c r="AK63" s="135"/>
      <c r="AL63" s="135"/>
      <c r="AM63" s="102"/>
      <c r="AN63" s="105" t="str">
        <f>IF(OR(ISBLANK(Term1_Early_Dismissal_6[[#This Row],[Start]]),ISBLANK(Term1_Early_Dismissal_6[[#This Row],[End]])),"",(Term1_Early_Dismissal_6[[#This Row],[End]]-Term1_Early_Dismissal_6[[#This Row],[Start]])*1440)</f>
        <v/>
      </c>
      <c r="AO63" s="105" t="str">
        <f>IF(ISBLANK(Term1_Early_Dismissal_6[[#This Row],[Activity]]),"",IF(_xlfn.XLOOKUP(Term1_Early_Dismissal_6[[#This Row],[Activity]],Types_of_Activity[Type of Activity],Types_of_Activity[Classification])=1,Term1_Early_Dismissal_6[[#This Row],[Elapsed]],0))</f>
        <v/>
      </c>
      <c r="AP63" s="105" t="str">
        <f>IF(ISBLANK(Term1_Early_Dismissal_6[[#This Row],[Activity]]),"",IF(_xlfn.XLOOKUP(Term1_Early_Dismissal_6[[#This Row],[Activity]],Types_of_Activity[Type of Activity],Types_of_Activity[Classification])=2,Term1_Early_Dismissal_6[[#This Row],[Elapsed]],0))</f>
        <v/>
      </c>
    </row>
    <row r="64" spans="2:71" x14ac:dyDescent="0.3">
      <c r="B64" s="135"/>
      <c r="C64" s="135"/>
      <c r="D64" s="102"/>
      <c r="E64" s="105" t="str">
        <f>IF(OR(ISBLANK(Term1_Early_Dismissal_1[[#This Row],[Start]]),ISBLANK(Term1_Early_Dismissal_1[[#This Row],[End]])),"",(Term1_Early_Dismissal_1[[#This Row],[End]]-Term1_Early_Dismissal_1[[#This Row],[Start]])*1440)</f>
        <v/>
      </c>
      <c r="F64" s="105" t="str">
        <f>IF(ISBLANK(Term1_Early_Dismissal_1[[#This Row],[Activity]]),"",IF(_xlfn.XLOOKUP(Term1_Early_Dismissal_1[[#This Row],[Activity]],Types_of_Activity[Type of Activity],Types_of_Activity[Classification])=1,Term1_Early_Dismissal_1[[#This Row],[Elapsed]],0))</f>
        <v/>
      </c>
      <c r="G64" s="105" t="str">
        <f>IF(ISBLANK(Term1_Early_Dismissal_1[[#This Row],[Activity]]),"",IF(_xlfn.XLOOKUP(Term1_Early_Dismissal_1[[#This Row],[Activity]],Types_of_Activity[Type of Activity],Types_of_Activity[Classification])=2,Term1_Early_Dismissal_1[[#This Row],[Elapsed]],0))</f>
        <v/>
      </c>
      <c r="H64"/>
      <c r="I64" s="135"/>
      <c r="J64" s="135"/>
      <c r="K64" s="102"/>
      <c r="L64" s="105" t="str">
        <f>IF(OR(ISBLANK(Term1_Early_Dismissal_2[[#This Row],[Start]]),ISBLANK(Term1_Early_Dismissal_2[[#This Row],[End]])),"",(Term1_Early_Dismissal_2[[#This Row],[End]]-Term1_Early_Dismissal_2[[#This Row],[Start]])*1440)</f>
        <v/>
      </c>
      <c r="M64" s="105" t="str">
        <f>IF(ISBLANK(Term1_Early_Dismissal_2[[#This Row],[Activity]]),"",IF(_xlfn.XLOOKUP(Term1_Early_Dismissal_2[[#This Row],[Activity]],Types_of_Activity[Type of Activity],Types_of_Activity[Classification])=1,Term1_Early_Dismissal_2[[#This Row],[Elapsed]],0))</f>
        <v/>
      </c>
      <c r="N64" s="105" t="str">
        <f>IF(ISBLANK(Term1_Early_Dismissal_2[[#This Row],[Activity]]),"",IF(_xlfn.XLOOKUP(Term1_Early_Dismissal_2[[#This Row],[Activity]],Types_of_Activity[Type of Activity],Types_of_Activity[Classification])=2,Term1_Early_Dismissal_2[[#This Row],[Elapsed]],0))</f>
        <v/>
      </c>
      <c r="O64"/>
      <c r="P64" s="135"/>
      <c r="Q64" s="135"/>
      <c r="R64" s="102"/>
      <c r="S64" s="105" t="str">
        <f>IF(OR(ISBLANK(Term1_Early_Dismissal_3[[#This Row],[Start]]),ISBLANK(Term1_Early_Dismissal_3[[#This Row],[End]])),"",(Term1_Early_Dismissal_3[[#This Row],[End]]-Term1_Early_Dismissal_3[[#This Row],[Start]])*1440)</f>
        <v/>
      </c>
      <c r="T64" s="105" t="str">
        <f>IF(ISBLANK(Term1_Early_Dismissal_3[[#This Row],[Activity]]),"",IF(_xlfn.XLOOKUP(Term1_Early_Dismissal_3[[#This Row],[Activity]],Types_of_Activity[Type of Activity],Types_of_Activity[Classification])=1,Term1_Early_Dismissal_3[[#This Row],[Elapsed]],0))</f>
        <v/>
      </c>
      <c r="U64" s="105" t="str">
        <f>IF(ISBLANK(Term1_Early_Dismissal_3[[#This Row],[Activity]]),"",IF(_xlfn.XLOOKUP(Term1_Early_Dismissal_3[[#This Row],[Activity]],Types_of_Activity[Type of Activity],Types_of_Activity[Classification])=2,Term1_Early_Dismissal_3[[#This Row],[Elapsed]],0))</f>
        <v/>
      </c>
      <c r="W64" s="135"/>
      <c r="X64" s="135"/>
      <c r="Y64" s="102"/>
      <c r="Z64" s="105" t="str">
        <f>IF(OR(ISBLANK(Term1_Early_Dismissal_4[[#This Row],[Start]]),ISBLANK(Term1_Early_Dismissal_4[[#This Row],[End]])),"",(Term1_Early_Dismissal_4[[#This Row],[End]]-Term1_Early_Dismissal_4[[#This Row],[Start]])*1440)</f>
        <v/>
      </c>
      <c r="AA64" s="105" t="str">
        <f>IF(ISBLANK(Term1_Early_Dismissal_4[[#This Row],[Activity]]),"",IF(_xlfn.XLOOKUP(Term1_Early_Dismissal_4[[#This Row],[Activity]],Types_of_Activity[Type of Activity],Types_of_Activity[Classification])=1,Term1_Early_Dismissal_4[[#This Row],[Elapsed]],0))</f>
        <v/>
      </c>
      <c r="AB64" s="105" t="str">
        <f>IF(ISBLANK(Term1_Early_Dismissal_4[[#This Row],[Activity]]),"",IF(_xlfn.XLOOKUP(Term1_Early_Dismissal_4[[#This Row],[Activity]],Types_of_Activity[Type of Activity],Types_of_Activity[Classification])=2,Term1_Early_Dismissal_4[[#This Row],[Elapsed]],0))</f>
        <v/>
      </c>
      <c r="AD64" s="135"/>
      <c r="AE64" s="135"/>
      <c r="AF64" s="102"/>
      <c r="AG64" s="105" t="str">
        <f>IF(OR(ISBLANK(Term1_Early_Dismissal_5[[#This Row],[Start]]),ISBLANK(Term1_Early_Dismissal_5[[#This Row],[End]])),"",(Term1_Early_Dismissal_5[[#This Row],[End]]-Term1_Early_Dismissal_5[[#This Row],[Start]])*1440)</f>
        <v/>
      </c>
      <c r="AH64" s="105" t="str">
        <f>IF(ISBLANK(Term1_Early_Dismissal_5[[#This Row],[Activity]]),"",IF(_xlfn.XLOOKUP(Term1_Early_Dismissal_5[[#This Row],[Activity]],Types_of_Activity[Type of Activity],Types_of_Activity[Classification])=1,Term1_Early_Dismissal_5[[#This Row],[Elapsed]],0))</f>
        <v/>
      </c>
      <c r="AI64" s="105" t="str">
        <f>IF(ISBLANK(Term1_Early_Dismissal_5[[#This Row],[Activity]]),"",IF(_xlfn.XLOOKUP(Term1_Early_Dismissal_5[[#This Row],[Activity]],Types_of_Activity[Type of Activity],Types_of_Activity[Classification])=2,Term1_Early_Dismissal_5[[#This Row],[Elapsed]],0))</f>
        <v/>
      </c>
      <c r="AK64" s="135"/>
      <c r="AL64" s="135"/>
      <c r="AM64" s="102"/>
      <c r="AN64" s="105" t="str">
        <f>IF(OR(ISBLANK(Term1_Early_Dismissal_6[[#This Row],[Start]]),ISBLANK(Term1_Early_Dismissal_6[[#This Row],[End]])),"",(Term1_Early_Dismissal_6[[#This Row],[End]]-Term1_Early_Dismissal_6[[#This Row],[Start]])*1440)</f>
        <v/>
      </c>
      <c r="AO64" s="105" t="str">
        <f>IF(ISBLANK(Term1_Early_Dismissal_6[[#This Row],[Activity]]),"",IF(_xlfn.XLOOKUP(Term1_Early_Dismissal_6[[#This Row],[Activity]],Types_of_Activity[Type of Activity],Types_of_Activity[Classification])=1,Term1_Early_Dismissal_6[[#This Row],[Elapsed]],0))</f>
        <v/>
      </c>
      <c r="AP64" s="105" t="str">
        <f>IF(ISBLANK(Term1_Early_Dismissal_6[[#This Row],[Activity]]),"",IF(_xlfn.XLOOKUP(Term1_Early_Dismissal_6[[#This Row],[Activity]],Types_of_Activity[Type of Activity],Types_of_Activity[Classification])=2,Term1_Early_Dismissal_6[[#This Row],[Elapsed]],0))</f>
        <v/>
      </c>
    </row>
    <row r="65" spans="2:42" x14ac:dyDescent="0.3">
      <c r="B65" s="135"/>
      <c r="C65" s="135"/>
      <c r="D65" s="102"/>
      <c r="E65" s="105" t="str">
        <f>IF(OR(ISBLANK(Term1_Early_Dismissal_1[[#This Row],[Start]]),ISBLANK(Term1_Early_Dismissal_1[[#This Row],[End]])),"",(Term1_Early_Dismissal_1[[#This Row],[End]]-Term1_Early_Dismissal_1[[#This Row],[Start]])*1440)</f>
        <v/>
      </c>
      <c r="F65" s="105" t="str">
        <f>IF(ISBLANK(Term1_Early_Dismissal_1[[#This Row],[Activity]]),"",IF(_xlfn.XLOOKUP(Term1_Early_Dismissal_1[[#This Row],[Activity]],Types_of_Activity[Type of Activity],Types_of_Activity[Classification])=1,Term1_Early_Dismissal_1[[#This Row],[Elapsed]],0))</f>
        <v/>
      </c>
      <c r="G65" s="105" t="str">
        <f>IF(ISBLANK(Term1_Early_Dismissal_1[[#This Row],[Activity]]),"",IF(_xlfn.XLOOKUP(Term1_Early_Dismissal_1[[#This Row],[Activity]],Types_of_Activity[Type of Activity],Types_of_Activity[Classification])=2,Term1_Early_Dismissal_1[[#This Row],[Elapsed]],0))</f>
        <v/>
      </c>
      <c r="H65"/>
      <c r="I65" s="135"/>
      <c r="J65" s="135"/>
      <c r="K65" s="102"/>
      <c r="L65" s="105" t="str">
        <f>IF(OR(ISBLANK(Term1_Early_Dismissal_2[[#This Row],[Start]]),ISBLANK(Term1_Early_Dismissal_2[[#This Row],[End]])),"",(Term1_Early_Dismissal_2[[#This Row],[End]]-Term1_Early_Dismissal_2[[#This Row],[Start]])*1440)</f>
        <v/>
      </c>
      <c r="M65" s="105" t="str">
        <f>IF(ISBLANK(Term1_Early_Dismissal_2[[#This Row],[Activity]]),"",IF(_xlfn.XLOOKUP(Term1_Early_Dismissal_2[[#This Row],[Activity]],Types_of_Activity[Type of Activity],Types_of_Activity[Classification])=1,Term1_Early_Dismissal_2[[#This Row],[Elapsed]],0))</f>
        <v/>
      </c>
      <c r="N65" s="105" t="str">
        <f>IF(ISBLANK(Term1_Early_Dismissal_2[[#This Row],[Activity]]),"",IF(_xlfn.XLOOKUP(Term1_Early_Dismissal_2[[#This Row],[Activity]],Types_of_Activity[Type of Activity],Types_of_Activity[Classification])=2,Term1_Early_Dismissal_2[[#This Row],[Elapsed]],0))</f>
        <v/>
      </c>
      <c r="O65"/>
      <c r="P65" s="135"/>
      <c r="Q65" s="135"/>
      <c r="R65" s="102"/>
      <c r="S65" s="105" t="str">
        <f>IF(OR(ISBLANK(Term1_Early_Dismissal_3[[#This Row],[Start]]),ISBLANK(Term1_Early_Dismissal_3[[#This Row],[End]])),"",(Term1_Early_Dismissal_3[[#This Row],[End]]-Term1_Early_Dismissal_3[[#This Row],[Start]])*1440)</f>
        <v/>
      </c>
      <c r="T65" s="105" t="str">
        <f>IF(ISBLANK(Term1_Early_Dismissal_3[[#This Row],[Activity]]),"",IF(_xlfn.XLOOKUP(Term1_Early_Dismissal_3[[#This Row],[Activity]],Types_of_Activity[Type of Activity],Types_of_Activity[Classification])=1,Term1_Early_Dismissal_3[[#This Row],[Elapsed]],0))</f>
        <v/>
      </c>
      <c r="U65" s="105" t="str">
        <f>IF(ISBLANK(Term1_Early_Dismissal_3[[#This Row],[Activity]]),"",IF(_xlfn.XLOOKUP(Term1_Early_Dismissal_3[[#This Row],[Activity]],Types_of_Activity[Type of Activity],Types_of_Activity[Classification])=2,Term1_Early_Dismissal_3[[#This Row],[Elapsed]],0))</f>
        <v/>
      </c>
      <c r="W65" s="135"/>
      <c r="X65" s="135"/>
      <c r="Y65" s="102"/>
      <c r="Z65" s="105" t="str">
        <f>IF(OR(ISBLANK(Term1_Early_Dismissal_4[[#This Row],[Start]]),ISBLANK(Term1_Early_Dismissal_4[[#This Row],[End]])),"",(Term1_Early_Dismissal_4[[#This Row],[End]]-Term1_Early_Dismissal_4[[#This Row],[Start]])*1440)</f>
        <v/>
      </c>
      <c r="AA65" s="105" t="str">
        <f>IF(ISBLANK(Term1_Early_Dismissal_4[[#This Row],[Activity]]),"",IF(_xlfn.XLOOKUP(Term1_Early_Dismissal_4[[#This Row],[Activity]],Types_of_Activity[Type of Activity],Types_of_Activity[Classification])=1,Term1_Early_Dismissal_4[[#This Row],[Elapsed]],0))</f>
        <v/>
      </c>
      <c r="AB65" s="105" t="str">
        <f>IF(ISBLANK(Term1_Early_Dismissal_4[[#This Row],[Activity]]),"",IF(_xlfn.XLOOKUP(Term1_Early_Dismissal_4[[#This Row],[Activity]],Types_of_Activity[Type of Activity],Types_of_Activity[Classification])=2,Term1_Early_Dismissal_4[[#This Row],[Elapsed]],0))</f>
        <v/>
      </c>
      <c r="AD65" s="135"/>
      <c r="AE65" s="135"/>
      <c r="AF65" s="102"/>
      <c r="AG65" s="105" t="str">
        <f>IF(OR(ISBLANK(Term1_Early_Dismissal_5[[#This Row],[Start]]),ISBLANK(Term1_Early_Dismissal_5[[#This Row],[End]])),"",(Term1_Early_Dismissal_5[[#This Row],[End]]-Term1_Early_Dismissal_5[[#This Row],[Start]])*1440)</f>
        <v/>
      </c>
      <c r="AH65" s="105" t="str">
        <f>IF(ISBLANK(Term1_Early_Dismissal_5[[#This Row],[Activity]]),"",IF(_xlfn.XLOOKUP(Term1_Early_Dismissal_5[[#This Row],[Activity]],Types_of_Activity[Type of Activity],Types_of_Activity[Classification])=1,Term1_Early_Dismissal_5[[#This Row],[Elapsed]],0))</f>
        <v/>
      </c>
      <c r="AI65" s="105" t="str">
        <f>IF(ISBLANK(Term1_Early_Dismissal_5[[#This Row],[Activity]]),"",IF(_xlfn.XLOOKUP(Term1_Early_Dismissal_5[[#This Row],[Activity]],Types_of_Activity[Type of Activity],Types_of_Activity[Classification])=2,Term1_Early_Dismissal_5[[#This Row],[Elapsed]],0))</f>
        <v/>
      </c>
      <c r="AK65" s="135"/>
      <c r="AL65" s="135"/>
      <c r="AM65" s="102"/>
      <c r="AN65" s="105" t="str">
        <f>IF(OR(ISBLANK(Term1_Early_Dismissal_6[[#This Row],[Start]]),ISBLANK(Term1_Early_Dismissal_6[[#This Row],[End]])),"",(Term1_Early_Dismissal_6[[#This Row],[End]]-Term1_Early_Dismissal_6[[#This Row],[Start]])*1440)</f>
        <v/>
      </c>
      <c r="AO65" s="105" t="str">
        <f>IF(ISBLANK(Term1_Early_Dismissal_6[[#This Row],[Activity]]),"",IF(_xlfn.XLOOKUP(Term1_Early_Dismissal_6[[#This Row],[Activity]],Types_of_Activity[Type of Activity],Types_of_Activity[Classification])=1,Term1_Early_Dismissal_6[[#This Row],[Elapsed]],0))</f>
        <v/>
      </c>
      <c r="AP65" s="105" t="str">
        <f>IF(ISBLANK(Term1_Early_Dismissal_6[[#This Row],[Activity]]),"",IF(_xlfn.XLOOKUP(Term1_Early_Dismissal_6[[#This Row],[Activity]],Types_of_Activity[Type of Activity],Types_of_Activity[Classification])=2,Term1_Early_Dismissal_6[[#This Row],[Elapsed]],0))</f>
        <v/>
      </c>
    </row>
    <row r="66" spans="2:42" x14ac:dyDescent="0.3">
      <c r="B66" s="135"/>
      <c r="C66" s="135"/>
      <c r="D66" s="102"/>
      <c r="E66" s="105" t="str">
        <f>IF(OR(ISBLANK(Term1_Early_Dismissal_1[[#This Row],[Start]]),ISBLANK(Term1_Early_Dismissal_1[[#This Row],[End]])),"",(Term1_Early_Dismissal_1[[#This Row],[End]]-Term1_Early_Dismissal_1[[#This Row],[Start]])*1440)</f>
        <v/>
      </c>
      <c r="F66" s="105" t="str">
        <f>IF(ISBLANK(Term1_Early_Dismissal_1[[#This Row],[Activity]]),"",IF(_xlfn.XLOOKUP(Term1_Early_Dismissal_1[[#This Row],[Activity]],Types_of_Activity[Type of Activity],Types_of_Activity[Classification])=1,Term1_Early_Dismissal_1[[#This Row],[Elapsed]],0))</f>
        <v/>
      </c>
      <c r="G66" s="105" t="str">
        <f>IF(ISBLANK(Term1_Early_Dismissal_1[[#This Row],[Activity]]),"",IF(_xlfn.XLOOKUP(Term1_Early_Dismissal_1[[#This Row],[Activity]],Types_of_Activity[Type of Activity],Types_of_Activity[Classification])=2,Term1_Early_Dismissal_1[[#This Row],[Elapsed]],0))</f>
        <v/>
      </c>
      <c r="H66"/>
      <c r="I66" s="135"/>
      <c r="J66" s="135"/>
      <c r="K66" s="102"/>
      <c r="L66" s="105" t="str">
        <f>IF(OR(ISBLANK(Term1_Early_Dismissal_2[[#This Row],[Start]]),ISBLANK(Term1_Early_Dismissal_2[[#This Row],[End]])),"",(Term1_Early_Dismissal_2[[#This Row],[End]]-Term1_Early_Dismissal_2[[#This Row],[Start]])*1440)</f>
        <v/>
      </c>
      <c r="M66" s="105" t="str">
        <f>IF(ISBLANK(Term1_Early_Dismissal_2[[#This Row],[Activity]]),"",IF(_xlfn.XLOOKUP(Term1_Early_Dismissal_2[[#This Row],[Activity]],Types_of_Activity[Type of Activity],Types_of_Activity[Classification])=1,Term1_Early_Dismissal_2[[#This Row],[Elapsed]],0))</f>
        <v/>
      </c>
      <c r="N66" s="105" t="str">
        <f>IF(ISBLANK(Term1_Early_Dismissal_2[[#This Row],[Activity]]),"",IF(_xlfn.XLOOKUP(Term1_Early_Dismissal_2[[#This Row],[Activity]],Types_of_Activity[Type of Activity],Types_of_Activity[Classification])=2,Term1_Early_Dismissal_2[[#This Row],[Elapsed]],0))</f>
        <v/>
      </c>
      <c r="O66"/>
      <c r="P66" s="135"/>
      <c r="Q66" s="135"/>
      <c r="R66" s="102"/>
      <c r="S66" s="105" t="str">
        <f>IF(OR(ISBLANK(Term1_Early_Dismissal_3[[#This Row],[Start]]),ISBLANK(Term1_Early_Dismissal_3[[#This Row],[End]])),"",(Term1_Early_Dismissal_3[[#This Row],[End]]-Term1_Early_Dismissal_3[[#This Row],[Start]])*1440)</f>
        <v/>
      </c>
      <c r="T66" s="105" t="str">
        <f>IF(ISBLANK(Term1_Early_Dismissal_3[[#This Row],[Activity]]),"",IF(_xlfn.XLOOKUP(Term1_Early_Dismissal_3[[#This Row],[Activity]],Types_of_Activity[Type of Activity],Types_of_Activity[Classification])=1,Term1_Early_Dismissal_3[[#This Row],[Elapsed]],0))</f>
        <v/>
      </c>
      <c r="U66" s="105" t="str">
        <f>IF(ISBLANK(Term1_Early_Dismissal_3[[#This Row],[Activity]]),"",IF(_xlfn.XLOOKUP(Term1_Early_Dismissal_3[[#This Row],[Activity]],Types_of_Activity[Type of Activity],Types_of_Activity[Classification])=2,Term1_Early_Dismissal_3[[#This Row],[Elapsed]],0))</f>
        <v/>
      </c>
      <c r="W66" s="135"/>
      <c r="X66" s="135"/>
      <c r="Y66" s="102"/>
      <c r="Z66" s="105" t="str">
        <f>IF(OR(ISBLANK(Term1_Early_Dismissal_4[[#This Row],[Start]]),ISBLANK(Term1_Early_Dismissal_4[[#This Row],[End]])),"",(Term1_Early_Dismissal_4[[#This Row],[End]]-Term1_Early_Dismissal_4[[#This Row],[Start]])*1440)</f>
        <v/>
      </c>
      <c r="AA66" s="105" t="str">
        <f>IF(ISBLANK(Term1_Early_Dismissal_4[[#This Row],[Activity]]),"",IF(_xlfn.XLOOKUP(Term1_Early_Dismissal_4[[#This Row],[Activity]],Types_of_Activity[Type of Activity],Types_of_Activity[Classification])=1,Term1_Early_Dismissal_4[[#This Row],[Elapsed]],0))</f>
        <v/>
      </c>
      <c r="AB66" s="105" t="str">
        <f>IF(ISBLANK(Term1_Early_Dismissal_4[[#This Row],[Activity]]),"",IF(_xlfn.XLOOKUP(Term1_Early_Dismissal_4[[#This Row],[Activity]],Types_of_Activity[Type of Activity],Types_of_Activity[Classification])=2,Term1_Early_Dismissal_4[[#This Row],[Elapsed]],0))</f>
        <v/>
      </c>
      <c r="AD66" s="135"/>
      <c r="AE66" s="135"/>
      <c r="AF66" s="102"/>
      <c r="AG66" s="105" t="str">
        <f>IF(OR(ISBLANK(Term1_Early_Dismissal_5[[#This Row],[Start]]),ISBLANK(Term1_Early_Dismissal_5[[#This Row],[End]])),"",(Term1_Early_Dismissal_5[[#This Row],[End]]-Term1_Early_Dismissal_5[[#This Row],[Start]])*1440)</f>
        <v/>
      </c>
      <c r="AH66" s="105" t="str">
        <f>IF(ISBLANK(Term1_Early_Dismissal_5[[#This Row],[Activity]]),"",IF(_xlfn.XLOOKUP(Term1_Early_Dismissal_5[[#This Row],[Activity]],Types_of_Activity[Type of Activity],Types_of_Activity[Classification])=1,Term1_Early_Dismissal_5[[#This Row],[Elapsed]],0))</f>
        <v/>
      </c>
      <c r="AI66" s="105" t="str">
        <f>IF(ISBLANK(Term1_Early_Dismissal_5[[#This Row],[Activity]]),"",IF(_xlfn.XLOOKUP(Term1_Early_Dismissal_5[[#This Row],[Activity]],Types_of_Activity[Type of Activity],Types_of_Activity[Classification])=2,Term1_Early_Dismissal_5[[#This Row],[Elapsed]],0))</f>
        <v/>
      </c>
      <c r="AK66" s="135"/>
      <c r="AL66" s="135"/>
      <c r="AM66" s="102"/>
      <c r="AN66" s="105" t="str">
        <f>IF(OR(ISBLANK(Term1_Early_Dismissal_6[[#This Row],[Start]]),ISBLANK(Term1_Early_Dismissal_6[[#This Row],[End]])),"",(Term1_Early_Dismissal_6[[#This Row],[End]]-Term1_Early_Dismissal_6[[#This Row],[Start]])*1440)</f>
        <v/>
      </c>
      <c r="AO66" s="105" t="str">
        <f>IF(ISBLANK(Term1_Early_Dismissal_6[[#This Row],[Activity]]),"",IF(_xlfn.XLOOKUP(Term1_Early_Dismissal_6[[#This Row],[Activity]],Types_of_Activity[Type of Activity],Types_of_Activity[Classification])=1,Term1_Early_Dismissal_6[[#This Row],[Elapsed]],0))</f>
        <v/>
      </c>
      <c r="AP66" s="105" t="str">
        <f>IF(ISBLANK(Term1_Early_Dismissal_6[[#This Row],[Activity]]),"",IF(_xlfn.XLOOKUP(Term1_Early_Dismissal_6[[#This Row],[Activity]],Types_of_Activity[Type of Activity],Types_of_Activity[Classification])=2,Term1_Early_Dismissal_6[[#This Row],[Elapsed]],0))</f>
        <v/>
      </c>
    </row>
    <row r="67" spans="2:42" x14ac:dyDescent="0.3">
      <c r="B67" s="135"/>
      <c r="C67" s="135"/>
      <c r="D67" s="102"/>
      <c r="E67" s="105" t="str">
        <f>IF(OR(ISBLANK(Term1_Early_Dismissal_1[[#This Row],[Start]]),ISBLANK(Term1_Early_Dismissal_1[[#This Row],[End]])),"",(Term1_Early_Dismissal_1[[#This Row],[End]]-Term1_Early_Dismissal_1[[#This Row],[Start]])*1440)</f>
        <v/>
      </c>
      <c r="F67" s="105" t="str">
        <f>IF(ISBLANK(Term1_Early_Dismissal_1[[#This Row],[Activity]]),"",IF(_xlfn.XLOOKUP(Term1_Early_Dismissal_1[[#This Row],[Activity]],Types_of_Activity[Type of Activity],Types_of_Activity[Classification])=1,Term1_Early_Dismissal_1[[#This Row],[Elapsed]],0))</f>
        <v/>
      </c>
      <c r="G67" s="105" t="str">
        <f>IF(ISBLANK(Term1_Early_Dismissal_1[[#This Row],[Activity]]),"",IF(_xlfn.XLOOKUP(Term1_Early_Dismissal_1[[#This Row],[Activity]],Types_of_Activity[Type of Activity],Types_of_Activity[Classification])=2,Term1_Early_Dismissal_1[[#This Row],[Elapsed]],0))</f>
        <v/>
      </c>
      <c r="H67"/>
      <c r="I67" s="135"/>
      <c r="J67" s="135"/>
      <c r="K67" s="102"/>
      <c r="L67" s="105" t="str">
        <f>IF(OR(ISBLANK(Term1_Early_Dismissal_2[[#This Row],[Start]]),ISBLANK(Term1_Early_Dismissal_2[[#This Row],[End]])),"",(Term1_Early_Dismissal_2[[#This Row],[End]]-Term1_Early_Dismissal_2[[#This Row],[Start]])*1440)</f>
        <v/>
      </c>
      <c r="M67" s="105" t="str">
        <f>IF(ISBLANK(Term1_Early_Dismissal_2[[#This Row],[Activity]]),"",IF(_xlfn.XLOOKUP(Term1_Early_Dismissal_2[[#This Row],[Activity]],Types_of_Activity[Type of Activity],Types_of_Activity[Classification])=1,Term1_Early_Dismissal_2[[#This Row],[Elapsed]],0))</f>
        <v/>
      </c>
      <c r="N67" s="105" t="str">
        <f>IF(ISBLANK(Term1_Early_Dismissal_2[[#This Row],[Activity]]),"",IF(_xlfn.XLOOKUP(Term1_Early_Dismissal_2[[#This Row],[Activity]],Types_of_Activity[Type of Activity],Types_of_Activity[Classification])=2,Term1_Early_Dismissal_2[[#This Row],[Elapsed]],0))</f>
        <v/>
      </c>
      <c r="O67"/>
      <c r="P67" s="135"/>
      <c r="Q67" s="135"/>
      <c r="R67" s="102"/>
      <c r="S67" s="105" t="str">
        <f>IF(OR(ISBLANK(Term1_Early_Dismissal_3[[#This Row],[Start]]),ISBLANK(Term1_Early_Dismissal_3[[#This Row],[End]])),"",(Term1_Early_Dismissal_3[[#This Row],[End]]-Term1_Early_Dismissal_3[[#This Row],[Start]])*1440)</f>
        <v/>
      </c>
      <c r="T67" s="105" t="str">
        <f>IF(ISBLANK(Term1_Early_Dismissal_3[[#This Row],[Activity]]),"",IF(_xlfn.XLOOKUP(Term1_Early_Dismissal_3[[#This Row],[Activity]],Types_of_Activity[Type of Activity],Types_of_Activity[Classification])=1,Term1_Early_Dismissal_3[[#This Row],[Elapsed]],0))</f>
        <v/>
      </c>
      <c r="U67" s="105" t="str">
        <f>IF(ISBLANK(Term1_Early_Dismissal_3[[#This Row],[Activity]]),"",IF(_xlfn.XLOOKUP(Term1_Early_Dismissal_3[[#This Row],[Activity]],Types_of_Activity[Type of Activity],Types_of_Activity[Classification])=2,Term1_Early_Dismissal_3[[#This Row],[Elapsed]],0))</f>
        <v/>
      </c>
      <c r="W67" s="135"/>
      <c r="X67" s="135"/>
      <c r="Y67" s="102"/>
      <c r="Z67" s="105" t="str">
        <f>IF(OR(ISBLANK(Term1_Early_Dismissal_4[[#This Row],[Start]]),ISBLANK(Term1_Early_Dismissal_4[[#This Row],[End]])),"",(Term1_Early_Dismissal_4[[#This Row],[End]]-Term1_Early_Dismissal_4[[#This Row],[Start]])*1440)</f>
        <v/>
      </c>
      <c r="AA67" s="105" t="str">
        <f>IF(ISBLANK(Term1_Early_Dismissal_4[[#This Row],[Activity]]),"",IF(_xlfn.XLOOKUP(Term1_Early_Dismissal_4[[#This Row],[Activity]],Types_of_Activity[Type of Activity],Types_of_Activity[Classification])=1,Term1_Early_Dismissal_4[[#This Row],[Elapsed]],0))</f>
        <v/>
      </c>
      <c r="AB67" s="105" t="str">
        <f>IF(ISBLANK(Term1_Early_Dismissal_4[[#This Row],[Activity]]),"",IF(_xlfn.XLOOKUP(Term1_Early_Dismissal_4[[#This Row],[Activity]],Types_of_Activity[Type of Activity],Types_of_Activity[Classification])=2,Term1_Early_Dismissal_4[[#This Row],[Elapsed]],0))</f>
        <v/>
      </c>
      <c r="AD67" s="135"/>
      <c r="AE67" s="135"/>
      <c r="AF67" s="102"/>
      <c r="AG67" s="105" t="str">
        <f>IF(OR(ISBLANK(Term1_Early_Dismissal_5[[#This Row],[Start]]),ISBLANK(Term1_Early_Dismissal_5[[#This Row],[End]])),"",(Term1_Early_Dismissal_5[[#This Row],[End]]-Term1_Early_Dismissal_5[[#This Row],[Start]])*1440)</f>
        <v/>
      </c>
      <c r="AH67" s="105" t="str">
        <f>IF(ISBLANK(Term1_Early_Dismissal_5[[#This Row],[Activity]]),"",IF(_xlfn.XLOOKUP(Term1_Early_Dismissal_5[[#This Row],[Activity]],Types_of_Activity[Type of Activity],Types_of_Activity[Classification])=1,Term1_Early_Dismissal_5[[#This Row],[Elapsed]],0))</f>
        <v/>
      </c>
      <c r="AI67" s="105" t="str">
        <f>IF(ISBLANK(Term1_Early_Dismissal_5[[#This Row],[Activity]]),"",IF(_xlfn.XLOOKUP(Term1_Early_Dismissal_5[[#This Row],[Activity]],Types_of_Activity[Type of Activity],Types_of_Activity[Classification])=2,Term1_Early_Dismissal_5[[#This Row],[Elapsed]],0))</f>
        <v/>
      </c>
      <c r="AK67" s="135"/>
      <c r="AL67" s="135"/>
      <c r="AM67" s="102"/>
      <c r="AN67" s="105" t="str">
        <f>IF(OR(ISBLANK(Term1_Early_Dismissal_6[[#This Row],[Start]]),ISBLANK(Term1_Early_Dismissal_6[[#This Row],[End]])),"",(Term1_Early_Dismissal_6[[#This Row],[End]]-Term1_Early_Dismissal_6[[#This Row],[Start]])*1440)</f>
        <v/>
      </c>
      <c r="AO67" s="105" t="str">
        <f>IF(ISBLANK(Term1_Early_Dismissal_6[[#This Row],[Activity]]),"",IF(_xlfn.XLOOKUP(Term1_Early_Dismissal_6[[#This Row],[Activity]],Types_of_Activity[Type of Activity],Types_of_Activity[Classification])=1,Term1_Early_Dismissal_6[[#This Row],[Elapsed]],0))</f>
        <v/>
      </c>
      <c r="AP67" s="105" t="str">
        <f>IF(ISBLANK(Term1_Early_Dismissal_6[[#This Row],[Activity]]),"",IF(_xlfn.XLOOKUP(Term1_Early_Dismissal_6[[#This Row],[Activity]],Types_of_Activity[Type of Activity],Types_of_Activity[Classification])=2,Term1_Early_Dismissal_6[[#This Row],[Elapsed]],0))</f>
        <v/>
      </c>
    </row>
    <row r="68" spans="2:42" x14ac:dyDescent="0.3">
      <c r="B68" s="135"/>
      <c r="C68" s="135"/>
      <c r="D68" s="102"/>
      <c r="E68" s="105" t="str">
        <f>IF(OR(ISBLANK(Term1_Early_Dismissal_1[[#This Row],[Start]]),ISBLANK(Term1_Early_Dismissal_1[[#This Row],[End]])),"",(Term1_Early_Dismissal_1[[#This Row],[End]]-Term1_Early_Dismissal_1[[#This Row],[Start]])*1440)</f>
        <v/>
      </c>
      <c r="F68" s="105" t="str">
        <f>IF(ISBLANK(Term1_Early_Dismissal_1[[#This Row],[Activity]]),"",IF(_xlfn.XLOOKUP(Term1_Early_Dismissal_1[[#This Row],[Activity]],Types_of_Activity[Type of Activity],Types_of_Activity[Classification])=1,Term1_Early_Dismissal_1[[#This Row],[Elapsed]],0))</f>
        <v/>
      </c>
      <c r="G68" s="105" t="str">
        <f>IF(ISBLANK(Term1_Early_Dismissal_1[[#This Row],[Activity]]),"",IF(_xlfn.XLOOKUP(Term1_Early_Dismissal_1[[#This Row],[Activity]],Types_of_Activity[Type of Activity],Types_of_Activity[Classification])=2,Term1_Early_Dismissal_1[[#This Row],[Elapsed]],0))</f>
        <v/>
      </c>
      <c r="H68"/>
      <c r="I68" s="135"/>
      <c r="J68" s="135"/>
      <c r="K68" s="102"/>
      <c r="L68" s="105" t="str">
        <f>IF(OR(ISBLANK(Term1_Early_Dismissal_2[[#This Row],[Start]]),ISBLANK(Term1_Early_Dismissal_2[[#This Row],[End]])),"",(Term1_Early_Dismissal_2[[#This Row],[End]]-Term1_Early_Dismissal_2[[#This Row],[Start]])*1440)</f>
        <v/>
      </c>
      <c r="M68" s="105" t="str">
        <f>IF(ISBLANK(Term1_Early_Dismissal_2[[#This Row],[Activity]]),"",IF(_xlfn.XLOOKUP(Term1_Early_Dismissal_2[[#This Row],[Activity]],Types_of_Activity[Type of Activity],Types_of_Activity[Classification])=1,Term1_Early_Dismissal_2[[#This Row],[Elapsed]],0))</f>
        <v/>
      </c>
      <c r="N68" s="105" t="str">
        <f>IF(ISBLANK(Term1_Early_Dismissal_2[[#This Row],[Activity]]),"",IF(_xlfn.XLOOKUP(Term1_Early_Dismissal_2[[#This Row],[Activity]],Types_of_Activity[Type of Activity],Types_of_Activity[Classification])=2,Term1_Early_Dismissal_2[[#This Row],[Elapsed]],0))</f>
        <v/>
      </c>
      <c r="O68"/>
      <c r="P68" s="135"/>
      <c r="Q68" s="135"/>
      <c r="R68" s="102"/>
      <c r="S68" s="105" t="str">
        <f>IF(OR(ISBLANK(Term1_Early_Dismissal_3[[#This Row],[Start]]),ISBLANK(Term1_Early_Dismissal_3[[#This Row],[End]])),"",(Term1_Early_Dismissal_3[[#This Row],[End]]-Term1_Early_Dismissal_3[[#This Row],[Start]])*1440)</f>
        <v/>
      </c>
      <c r="T68" s="105" t="str">
        <f>IF(ISBLANK(Term1_Early_Dismissal_3[[#This Row],[Activity]]),"",IF(_xlfn.XLOOKUP(Term1_Early_Dismissal_3[[#This Row],[Activity]],Types_of_Activity[Type of Activity],Types_of_Activity[Classification])=1,Term1_Early_Dismissal_3[[#This Row],[Elapsed]],0))</f>
        <v/>
      </c>
      <c r="U68" s="105" t="str">
        <f>IF(ISBLANK(Term1_Early_Dismissal_3[[#This Row],[Activity]]),"",IF(_xlfn.XLOOKUP(Term1_Early_Dismissal_3[[#This Row],[Activity]],Types_of_Activity[Type of Activity],Types_of_Activity[Classification])=2,Term1_Early_Dismissal_3[[#This Row],[Elapsed]],0))</f>
        <v/>
      </c>
      <c r="W68" s="135"/>
      <c r="X68" s="135"/>
      <c r="Y68" s="102"/>
      <c r="Z68" s="105" t="str">
        <f>IF(OR(ISBLANK(Term1_Early_Dismissal_4[[#This Row],[Start]]),ISBLANK(Term1_Early_Dismissal_4[[#This Row],[End]])),"",(Term1_Early_Dismissal_4[[#This Row],[End]]-Term1_Early_Dismissal_4[[#This Row],[Start]])*1440)</f>
        <v/>
      </c>
      <c r="AA68" s="105" t="str">
        <f>IF(ISBLANK(Term1_Early_Dismissal_4[[#This Row],[Activity]]),"",IF(_xlfn.XLOOKUP(Term1_Early_Dismissal_4[[#This Row],[Activity]],Types_of_Activity[Type of Activity],Types_of_Activity[Classification])=1,Term1_Early_Dismissal_4[[#This Row],[Elapsed]],0))</f>
        <v/>
      </c>
      <c r="AB68" s="105" t="str">
        <f>IF(ISBLANK(Term1_Early_Dismissal_4[[#This Row],[Activity]]),"",IF(_xlfn.XLOOKUP(Term1_Early_Dismissal_4[[#This Row],[Activity]],Types_of_Activity[Type of Activity],Types_of_Activity[Classification])=2,Term1_Early_Dismissal_4[[#This Row],[Elapsed]],0))</f>
        <v/>
      </c>
      <c r="AD68" s="135"/>
      <c r="AE68" s="135"/>
      <c r="AF68" s="102"/>
      <c r="AG68" s="105" t="str">
        <f>IF(OR(ISBLANK(Term1_Early_Dismissal_5[[#This Row],[Start]]),ISBLANK(Term1_Early_Dismissal_5[[#This Row],[End]])),"",(Term1_Early_Dismissal_5[[#This Row],[End]]-Term1_Early_Dismissal_5[[#This Row],[Start]])*1440)</f>
        <v/>
      </c>
      <c r="AH68" s="105" t="str">
        <f>IF(ISBLANK(Term1_Early_Dismissal_5[[#This Row],[Activity]]),"",IF(_xlfn.XLOOKUP(Term1_Early_Dismissal_5[[#This Row],[Activity]],Types_of_Activity[Type of Activity],Types_of_Activity[Classification])=1,Term1_Early_Dismissal_5[[#This Row],[Elapsed]],0))</f>
        <v/>
      </c>
      <c r="AI68" s="105" t="str">
        <f>IF(ISBLANK(Term1_Early_Dismissal_5[[#This Row],[Activity]]),"",IF(_xlfn.XLOOKUP(Term1_Early_Dismissal_5[[#This Row],[Activity]],Types_of_Activity[Type of Activity],Types_of_Activity[Classification])=2,Term1_Early_Dismissal_5[[#This Row],[Elapsed]],0))</f>
        <v/>
      </c>
      <c r="AK68" s="135"/>
      <c r="AL68" s="135"/>
      <c r="AM68" s="102"/>
      <c r="AN68" s="105" t="str">
        <f>IF(OR(ISBLANK(Term1_Early_Dismissal_6[[#This Row],[Start]]),ISBLANK(Term1_Early_Dismissal_6[[#This Row],[End]])),"",(Term1_Early_Dismissal_6[[#This Row],[End]]-Term1_Early_Dismissal_6[[#This Row],[Start]])*1440)</f>
        <v/>
      </c>
      <c r="AO68" s="105" t="str">
        <f>IF(ISBLANK(Term1_Early_Dismissal_6[[#This Row],[Activity]]),"",IF(_xlfn.XLOOKUP(Term1_Early_Dismissal_6[[#This Row],[Activity]],Types_of_Activity[Type of Activity],Types_of_Activity[Classification])=1,Term1_Early_Dismissal_6[[#This Row],[Elapsed]],0))</f>
        <v/>
      </c>
      <c r="AP68" s="105" t="str">
        <f>IF(ISBLANK(Term1_Early_Dismissal_6[[#This Row],[Activity]]),"",IF(_xlfn.XLOOKUP(Term1_Early_Dismissal_6[[#This Row],[Activity]],Types_of_Activity[Type of Activity],Types_of_Activity[Classification])=2,Term1_Early_Dismissal_6[[#This Row],[Elapsed]],0))</f>
        <v/>
      </c>
    </row>
    <row r="69" spans="2:42" x14ac:dyDescent="0.3">
      <c r="B69" s="135"/>
      <c r="C69" s="135"/>
      <c r="D69" s="102"/>
      <c r="E69" s="105" t="str">
        <f>IF(OR(ISBLANK(Term1_Early_Dismissal_1[[#This Row],[Start]]),ISBLANK(Term1_Early_Dismissal_1[[#This Row],[End]])),"",(Term1_Early_Dismissal_1[[#This Row],[End]]-Term1_Early_Dismissal_1[[#This Row],[Start]])*1440)</f>
        <v/>
      </c>
      <c r="F69" s="105" t="str">
        <f>IF(ISBLANK(Term1_Early_Dismissal_1[[#This Row],[Activity]]),"",IF(_xlfn.XLOOKUP(Term1_Early_Dismissal_1[[#This Row],[Activity]],Types_of_Activity[Type of Activity],Types_of_Activity[Classification])=1,Term1_Early_Dismissal_1[[#This Row],[Elapsed]],0))</f>
        <v/>
      </c>
      <c r="G69" s="105" t="str">
        <f>IF(ISBLANK(Term1_Early_Dismissal_1[[#This Row],[Activity]]),"",IF(_xlfn.XLOOKUP(Term1_Early_Dismissal_1[[#This Row],[Activity]],Types_of_Activity[Type of Activity],Types_of_Activity[Classification])=2,Term1_Early_Dismissal_1[[#This Row],[Elapsed]],0))</f>
        <v/>
      </c>
      <c r="H69"/>
      <c r="I69" s="135"/>
      <c r="J69" s="135"/>
      <c r="K69" s="102"/>
      <c r="L69" s="105" t="str">
        <f>IF(OR(ISBLANK(Term1_Early_Dismissal_2[[#This Row],[Start]]),ISBLANK(Term1_Early_Dismissal_2[[#This Row],[End]])),"",(Term1_Early_Dismissal_2[[#This Row],[End]]-Term1_Early_Dismissal_2[[#This Row],[Start]])*1440)</f>
        <v/>
      </c>
      <c r="M69" s="105" t="str">
        <f>IF(ISBLANK(Term1_Early_Dismissal_2[[#This Row],[Activity]]),"",IF(_xlfn.XLOOKUP(Term1_Early_Dismissal_2[[#This Row],[Activity]],Types_of_Activity[Type of Activity],Types_of_Activity[Classification])=1,Term1_Early_Dismissal_2[[#This Row],[Elapsed]],0))</f>
        <v/>
      </c>
      <c r="N69" s="105" t="str">
        <f>IF(ISBLANK(Term1_Early_Dismissal_2[[#This Row],[Activity]]),"",IF(_xlfn.XLOOKUP(Term1_Early_Dismissal_2[[#This Row],[Activity]],Types_of_Activity[Type of Activity],Types_of_Activity[Classification])=2,Term1_Early_Dismissal_2[[#This Row],[Elapsed]],0))</f>
        <v/>
      </c>
      <c r="O69"/>
      <c r="P69" s="135"/>
      <c r="Q69" s="135"/>
      <c r="R69" s="102"/>
      <c r="S69" s="105" t="str">
        <f>IF(OR(ISBLANK(Term1_Early_Dismissal_3[[#This Row],[Start]]),ISBLANK(Term1_Early_Dismissal_3[[#This Row],[End]])),"",(Term1_Early_Dismissal_3[[#This Row],[End]]-Term1_Early_Dismissal_3[[#This Row],[Start]])*1440)</f>
        <v/>
      </c>
      <c r="T69" s="105" t="str">
        <f>IF(ISBLANK(Term1_Early_Dismissal_3[[#This Row],[Activity]]),"",IF(_xlfn.XLOOKUP(Term1_Early_Dismissal_3[[#This Row],[Activity]],Types_of_Activity[Type of Activity],Types_of_Activity[Classification])=1,Term1_Early_Dismissal_3[[#This Row],[Elapsed]],0))</f>
        <v/>
      </c>
      <c r="U69" s="105" t="str">
        <f>IF(ISBLANK(Term1_Early_Dismissal_3[[#This Row],[Activity]]),"",IF(_xlfn.XLOOKUP(Term1_Early_Dismissal_3[[#This Row],[Activity]],Types_of_Activity[Type of Activity],Types_of_Activity[Classification])=2,Term1_Early_Dismissal_3[[#This Row],[Elapsed]],0))</f>
        <v/>
      </c>
      <c r="W69" s="135"/>
      <c r="X69" s="135"/>
      <c r="Y69" s="102"/>
      <c r="Z69" s="105" t="str">
        <f>IF(OR(ISBLANK(Term1_Early_Dismissal_4[[#This Row],[Start]]),ISBLANK(Term1_Early_Dismissal_4[[#This Row],[End]])),"",(Term1_Early_Dismissal_4[[#This Row],[End]]-Term1_Early_Dismissal_4[[#This Row],[Start]])*1440)</f>
        <v/>
      </c>
      <c r="AA69" s="105" t="str">
        <f>IF(ISBLANK(Term1_Early_Dismissal_4[[#This Row],[Activity]]),"",IF(_xlfn.XLOOKUP(Term1_Early_Dismissal_4[[#This Row],[Activity]],Types_of_Activity[Type of Activity],Types_of_Activity[Classification])=1,Term1_Early_Dismissal_4[[#This Row],[Elapsed]],0))</f>
        <v/>
      </c>
      <c r="AB69" s="105" t="str">
        <f>IF(ISBLANK(Term1_Early_Dismissal_4[[#This Row],[Activity]]),"",IF(_xlfn.XLOOKUP(Term1_Early_Dismissal_4[[#This Row],[Activity]],Types_of_Activity[Type of Activity],Types_of_Activity[Classification])=2,Term1_Early_Dismissal_4[[#This Row],[Elapsed]],0))</f>
        <v/>
      </c>
      <c r="AD69" s="135"/>
      <c r="AE69" s="135"/>
      <c r="AF69" s="102"/>
      <c r="AG69" s="105" t="str">
        <f>IF(OR(ISBLANK(Term1_Early_Dismissal_5[[#This Row],[Start]]),ISBLANK(Term1_Early_Dismissal_5[[#This Row],[End]])),"",(Term1_Early_Dismissal_5[[#This Row],[End]]-Term1_Early_Dismissal_5[[#This Row],[Start]])*1440)</f>
        <v/>
      </c>
      <c r="AH69" s="105" t="str">
        <f>IF(ISBLANK(Term1_Early_Dismissal_5[[#This Row],[Activity]]),"",IF(_xlfn.XLOOKUP(Term1_Early_Dismissal_5[[#This Row],[Activity]],Types_of_Activity[Type of Activity],Types_of_Activity[Classification])=1,Term1_Early_Dismissal_5[[#This Row],[Elapsed]],0))</f>
        <v/>
      </c>
      <c r="AI69" s="105" t="str">
        <f>IF(ISBLANK(Term1_Early_Dismissal_5[[#This Row],[Activity]]),"",IF(_xlfn.XLOOKUP(Term1_Early_Dismissal_5[[#This Row],[Activity]],Types_of_Activity[Type of Activity],Types_of_Activity[Classification])=2,Term1_Early_Dismissal_5[[#This Row],[Elapsed]],0))</f>
        <v/>
      </c>
      <c r="AK69" s="135"/>
      <c r="AL69" s="135"/>
      <c r="AM69" s="102"/>
      <c r="AN69" s="105" t="str">
        <f>IF(OR(ISBLANK(Term1_Early_Dismissal_6[[#This Row],[Start]]),ISBLANK(Term1_Early_Dismissal_6[[#This Row],[End]])),"",(Term1_Early_Dismissal_6[[#This Row],[End]]-Term1_Early_Dismissal_6[[#This Row],[Start]])*1440)</f>
        <v/>
      </c>
      <c r="AO69" s="105" t="str">
        <f>IF(ISBLANK(Term1_Early_Dismissal_6[[#This Row],[Activity]]),"",IF(_xlfn.XLOOKUP(Term1_Early_Dismissal_6[[#This Row],[Activity]],Types_of_Activity[Type of Activity],Types_of_Activity[Classification])=1,Term1_Early_Dismissal_6[[#This Row],[Elapsed]],0))</f>
        <v/>
      </c>
      <c r="AP69" s="105" t="str">
        <f>IF(ISBLANK(Term1_Early_Dismissal_6[[#This Row],[Activity]]),"",IF(_xlfn.XLOOKUP(Term1_Early_Dismissal_6[[#This Row],[Activity]],Types_of_Activity[Type of Activity],Types_of_Activity[Classification])=2,Term1_Early_Dismissal_6[[#This Row],[Elapsed]],0))</f>
        <v/>
      </c>
    </row>
    <row r="70" spans="2:42" x14ac:dyDescent="0.3">
      <c r="B70" s="135"/>
      <c r="C70" s="135"/>
      <c r="D70" s="102"/>
      <c r="E70" s="105" t="str">
        <f>IF(OR(ISBLANK(Term1_Early_Dismissal_1[[#This Row],[Start]]),ISBLANK(Term1_Early_Dismissal_1[[#This Row],[End]])),"",(Term1_Early_Dismissal_1[[#This Row],[End]]-Term1_Early_Dismissal_1[[#This Row],[Start]])*1440)</f>
        <v/>
      </c>
      <c r="F70" s="105" t="str">
        <f>IF(ISBLANK(Term1_Early_Dismissal_1[[#This Row],[Activity]]),"",IF(_xlfn.XLOOKUP(Term1_Early_Dismissal_1[[#This Row],[Activity]],Types_of_Activity[Type of Activity],Types_of_Activity[Classification])=1,Term1_Early_Dismissal_1[[#This Row],[Elapsed]],0))</f>
        <v/>
      </c>
      <c r="G70" s="105" t="str">
        <f>IF(ISBLANK(Term1_Early_Dismissal_1[[#This Row],[Activity]]),"",IF(_xlfn.XLOOKUP(Term1_Early_Dismissal_1[[#This Row],[Activity]],Types_of_Activity[Type of Activity],Types_of_Activity[Classification])=2,Term1_Early_Dismissal_1[[#This Row],[Elapsed]],0))</f>
        <v/>
      </c>
      <c r="H70"/>
      <c r="I70" s="135"/>
      <c r="J70" s="135"/>
      <c r="K70" s="102"/>
      <c r="L70" s="105" t="str">
        <f>IF(OR(ISBLANK(Term1_Early_Dismissal_2[[#This Row],[Start]]),ISBLANK(Term1_Early_Dismissal_2[[#This Row],[End]])),"",(Term1_Early_Dismissal_2[[#This Row],[End]]-Term1_Early_Dismissal_2[[#This Row],[Start]])*1440)</f>
        <v/>
      </c>
      <c r="M70" s="105" t="str">
        <f>IF(ISBLANK(Term1_Early_Dismissal_2[[#This Row],[Activity]]),"",IF(_xlfn.XLOOKUP(Term1_Early_Dismissal_2[[#This Row],[Activity]],Types_of_Activity[Type of Activity],Types_of_Activity[Classification])=1,Term1_Early_Dismissal_2[[#This Row],[Elapsed]],0))</f>
        <v/>
      </c>
      <c r="N70" s="105" t="str">
        <f>IF(ISBLANK(Term1_Early_Dismissal_2[[#This Row],[Activity]]),"",IF(_xlfn.XLOOKUP(Term1_Early_Dismissal_2[[#This Row],[Activity]],Types_of_Activity[Type of Activity],Types_of_Activity[Classification])=2,Term1_Early_Dismissal_2[[#This Row],[Elapsed]],0))</f>
        <v/>
      </c>
      <c r="O70"/>
      <c r="P70" s="135"/>
      <c r="Q70" s="135"/>
      <c r="R70" s="102"/>
      <c r="S70" s="105" t="str">
        <f>IF(OR(ISBLANK(Term1_Early_Dismissal_3[[#This Row],[Start]]),ISBLANK(Term1_Early_Dismissal_3[[#This Row],[End]])),"",(Term1_Early_Dismissal_3[[#This Row],[End]]-Term1_Early_Dismissal_3[[#This Row],[Start]])*1440)</f>
        <v/>
      </c>
      <c r="T70" s="105" t="str">
        <f>IF(ISBLANK(Term1_Early_Dismissal_3[[#This Row],[Activity]]),"",IF(_xlfn.XLOOKUP(Term1_Early_Dismissal_3[[#This Row],[Activity]],Types_of_Activity[Type of Activity],Types_of_Activity[Classification])=1,Term1_Early_Dismissal_3[[#This Row],[Elapsed]],0))</f>
        <v/>
      </c>
      <c r="U70" s="105" t="str">
        <f>IF(ISBLANK(Term1_Early_Dismissal_3[[#This Row],[Activity]]),"",IF(_xlfn.XLOOKUP(Term1_Early_Dismissal_3[[#This Row],[Activity]],Types_of_Activity[Type of Activity],Types_of_Activity[Classification])=2,Term1_Early_Dismissal_3[[#This Row],[Elapsed]],0))</f>
        <v/>
      </c>
      <c r="W70" s="135"/>
      <c r="X70" s="135"/>
      <c r="Y70" s="102"/>
      <c r="Z70" s="105" t="str">
        <f>IF(OR(ISBLANK(Term1_Early_Dismissal_4[[#This Row],[Start]]),ISBLANK(Term1_Early_Dismissal_4[[#This Row],[End]])),"",(Term1_Early_Dismissal_4[[#This Row],[End]]-Term1_Early_Dismissal_4[[#This Row],[Start]])*1440)</f>
        <v/>
      </c>
      <c r="AA70" s="105" t="str">
        <f>IF(ISBLANK(Term1_Early_Dismissal_4[[#This Row],[Activity]]),"",IF(_xlfn.XLOOKUP(Term1_Early_Dismissal_4[[#This Row],[Activity]],Types_of_Activity[Type of Activity],Types_of_Activity[Classification])=1,Term1_Early_Dismissal_4[[#This Row],[Elapsed]],0))</f>
        <v/>
      </c>
      <c r="AB70" s="105" t="str">
        <f>IF(ISBLANK(Term1_Early_Dismissal_4[[#This Row],[Activity]]),"",IF(_xlfn.XLOOKUP(Term1_Early_Dismissal_4[[#This Row],[Activity]],Types_of_Activity[Type of Activity],Types_of_Activity[Classification])=2,Term1_Early_Dismissal_4[[#This Row],[Elapsed]],0))</f>
        <v/>
      </c>
      <c r="AD70" s="135"/>
      <c r="AE70" s="135"/>
      <c r="AF70" s="102"/>
      <c r="AG70" s="105" t="str">
        <f>IF(OR(ISBLANK(Term1_Early_Dismissal_5[[#This Row],[Start]]),ISBLANK(Term1_Early_Dismissal_5[[#This Row],[End]])),"",(Term1_Early_Dismissal_5[[#This Row],[End]]-Term1_Early_Dismissal_5[[#This Row],[Start]])*1440)</f>
        <v/>
      </c>
      <c r="AH70" s="105" t="str">
        <f>IF(ISBLANK(Term1_Early_Dismissal_5[[#This Row],[Activity]]),"",IF(_xlfn.XLOOKUP(Term1_Early_Dismissal_5[[#This Row],[Activity]],Types_of_Activity[Type of Activity],Types_of_Activity[Classification])=1,Term1_Early_Dismissal_5[[#This Row],[Elapsed]],0))</f>
        <v/>
      </c>
      <c r="AI70" s="105" t="str">
        <f>IF(ISBLANK(Term1_Early_Dismissal_5[[#This Row],[Activity]]),"",IF(_xlfn.XLOOKUP(Term1_Early_Dismissal_5[[#This Row],[Activity]],Types_of_Activity[Type of Activity],Types_of_Activity[Classification])=2,Term1_Early_Dismissal_5[[#This Row],[Elapsed]],0))</f>
        <v/>
      </c>
      <c r="AK70" s="135"/>
      <c r="AL70" s="135"/>
      <c r="AM70" s="102"/>
      <c r="AN70" s="105" t="str">
        <f>IF(OR(ISBLANK(Term1_Early_Dismissal_6[[#This Row],[Start]]),ISBLANK(Term1_Early_Dismissal_6[[#This Row],[End]])),"",(Term1_Early_Dismissal_6[[#This Row],[End]]-Term1_Early_Dismissal_6[[#This Row],[Start]])*1440)</f>
        <v/>
      </c>
      <c r="AO70" s="105" t="str">
        <f>IF(ISBLANK(Term1_Early_Dismissal_6[[#This Row],[Activity]]),"",IF(_xlfn.XLOOKUP(Term1_Early_Dismissal_6[[#This Row],[Activity]],Types_of_Activity[Type of Activity],Types_of_Activity[Classification])=1,Term1_Early_Dismissal_6[[#This Row],[Elapsed]],0))</f>
        <v/>
      </c>
      <c r="AP70" s="105" t="str">
        <f>IF(ISBLANK(Term1_Early_Dismissal_6[[#This Row],[Activity]]),"",IF(_xlfn.XLOOKUP(Term1_Early_Dismissal_6[[#This Row],[Activity]],Types_of_Activity[Type of Activity],Types_of_Activity[Classification])=2,Term1_Early_Dismissal_6[[#This Row],[Elapsed]],0))</f>
        <v/>
      </c>
    </row>
    <row r="71" spans="2:42" x14ac:dyDescent="0.3">
      <c r="B71" s="135"/>
      <c r="C71" s="135"/>
      <c r="D71" s="102"/>
      <c r="E71" s="105" t="str">
        <f>IF(OR(ISBLANK(Term1_Early_Dismissal_1[[#This Row],[Start]]),ISBLANK(Term1_Early_Dismissal_1[[#This Row],[End]])),"",(Term1_Early_Dismissal_1[[#This Row],[End]]-Term1_Early_Dismissal_1[[#This Row],[Start]])*1440)</f>
        <v/>
      </c>
      <c r="F71" s="105" t="str">
        <f>IF(ISBLANK(Term1_Early_Dismissal_1[[#This Row],[Activity]]),"",IF(_xlfn.XLOOKUP(Term1_Early_Dismissal_1[[#This Row],[Activity]],Types_of_Activity[Type of Activity],Types_of_Activity[Classification])=1,Term1_Early_Dismissal_1[[#This Row],[Elapsed]],0))</f>
        <v/>
      </c>
      <c r="G71" s="105" t="str">
        <f>IF(ISBLANK(Term1_Early_Dismissal_1[[#This Row],[Activity]]),"",IF(_xlfn.XLOOKUP(Term1_Early_Dismissal_1[[#This Row],[Activity]],Types_of_Activity[Type of Activity],Types_of_Activity[Classification])=2,Term1_Early_Dismissal_1[[#This Row],[Elapsed]],0))</f>
        <v/>
      </c>
      <c r="H71"/>
      <c r="I71" s="135"/>
      <c r="J71" s="135"/>
      <c r="K71" s="102"/>
      <c r="L71" s="105" t="str">
        <f>IF(OR(ISBLANK(Term1_Early_Dismissal_2[[#This Row],[Start]]),ISBLANK(Term1_Early_Dismissal_2[[#This Row],[End]])),"",(Term1_Early_Dismissal_2[[#This Row],[End]]-Term1_Early_Dismissal_2[[#This Row],[Start]])*1440)</f>
        <v/>
      </c>
      <c r="M71" s="105" t="str">
        <f>IF(ISBLANK(Term1_Early_Dismissal_2[[#This Row],[Activity]]),"",IF(_xlfn.XLOOKUP(Term1_Early_Dismissal_2[[#This Row],[Activity]],Types_of_Activity[Type of Activity],Types_of_Activity[Classification])=1,Term1_Early_Dismissal_2[[#This Row],[Elapsed]],0))</f>
        <v/>
      </c>
      <c r="N71" s="105" t="str">
        <f>IF(ISBLANK(Term1_Early_Dismissal_2[[#This Row],[Activity]]),"",IF(_xlfn.XLOOKUP(Term1_Early_Dismissal_2[[#This Row],[Activity]],Types_of_Activity[Type of Activity],Types_of_Activity[Classification])=2,Term1_Early_Dismissal_2[[#This Row],[Elapsed]],0))</f>
        <v/>
      </c>
      <c r="O71"/>
      <c r="P71" s="135"/>
      <c r="Q71" s="135"/>
      <c r="R71" s="102"/>
      <c r="S71" s="105" t="str">
        <f>IF(OR(ISBLANK(Term1_Early_Dismissal_3[[#This Row],[Start]]),ISBLANK(Term1_Early_Dismissal_3[[#This Row],[End]])),"",(Term1_Early_Dismissal_3[[#This Row],[End]]-Term1_Early_Dismissal_3[[#This Row],[Start]])*1440)</f>
        <v/>
      </c>
      <c r="T71" s="105" t="str">
        <f>IF(ISBLANK(Term1_Early_Dismissal_3[[#This Row],[Activity]]),"",IF(_xlfn.XLOOKUP(Term1_Early_Dismissal_3[[#This Row],[Activity]],Types_of_Activity[Type of Activity],Types_of_Activity[Classification])=1,Term1_Early_Dismissal_3[[#This Row],[Elapsed]],0))</f>
        <v/>
      </c>
      <c r="U71" s="105" t="str">
        <f>IF(ISBLANK(Term1_Early_Dismissal_3[[#This Row],[Activity]]),"",IF(_xlfn.XLOOKUP(Term1_Early_Dismissal_3[[#This Row],[Activity]],Types_of_Activity[Type of Activity],Types_of_Activity[Classification])=2,Term1_Early_Dismissal_3[[#This Row],[Elapsed]],0))</f>
        <v/>
      </c>
      <c r="W71" s="135"/>
      <c r="X71" s="135"/>
      <c r="Y71" s="102"/>
      <c r="Z71" s="105" t="str">
        <f>IF(OR(ISBLANK(Term1_Early_Dismissal_4[[#This Row],[Start]]),ISBLANK(Term1_Early_Dismissal_4[[#This Row],[End]])),"",(Term1_Early_Dismissal_4[[#This Row],[End]]-Term1_Early_Dismissal_4[[#This Row],[Start]])*1440)</f>
        <v/>
      </c>
      <c r="AA71" s="105" t="str">
        <f>IF(ISBLANK(Term1_Early_Dismissal_4[[#This Row],[Activity]]),"",IF(_xlfn.XLOOKUP(Term1_Early_Dismissal_4[[#This Row],[Activity]],Types_of_Activity[Type of Activity],Types_of_Activity[Classification])=1,Term1_Early_Dismissal_4[[#This Row],[Elapsed]],0))</f>
        <v/>
      </c>
      <c r="AB71" s="105" t="str">
        <f>IF(ISBLANK(Term1_Early_Dismissal_4[[#This Row],[Activity]]),"",IF(_xlfn.XLOOKUP(Term1_Early_Dismissal_4[[#This Row],[Activity]],Types_of_Activity[Type of Activity],Types_of_Activity[Classification])=2,Term1_Early_Dismissal_4[[#This Row],[Elapsed]],0))</f>
        <v/>
      </c>
      <c r="AD71" s="135"/>
      <c r="AE71" s="135"/>
      <c r="AF71" s="102"/>
      <c r="AG71" s="105" t="str">
        <f>IF(OR(ISBLANK(Term1_Early_Dismissal_5[[#This Row],[Start]]),ISBLANK(Term1_Early_Dismissal_5[[#This Row],[End]])),"",(Term1_Early_Dismissal_5[[#This Row],[End]]-Term1_Early_Dismissal_5[[#This Row],[Start]])*1440)</f>
        <v/>
      </c>
      <c r="AH71" s="105" t="str">
        <f>IF(ISBLANK(Term1_Early_Dismissal_5[[#This Row],[Activity]]),"",IF(_xlfn.XLOOKUP(Term1_Early_Dismissal_5[[#This Row],[Activity]],Types_of_Activity[Type of Activity],Types_of_Activity[Classification])=1,Term1_Early_Dismissal_5[[#This Row],[Elapsed]],0))</f>
        <v/>
      </c>
      <c r="AI71" s="105" t="str">
        <f>IF(ISBLANK(Term1_Early_Dismissal_5[[#This Row],[Activity]]),"",IF(_xlfn.XLOOKUP(Term1_Early_Dismissal_5[[#This Row],[Activity]],Types_of_Activity[Type of Activity],Types_of_Activity[Classification])=2,Term1_Early_Dismissal_5[[#This Row],[Elapsed]],0))</f>
        <v/>
      </c>
      <c r="AK71" s="135"/>
      <c r="AL71" s="135"/>
      <c r="AM71" s="102"/>
      <c r="AN71" s="105" t="str">
        <f>IF(OR(ISBLANK(Term1_Early_Dismissal_6[[#This Row],[Start]]),ISBLANK(Term1_Early_Dismissal_6[[#This Row],[End]])),"",(Term1_Early_Dismissal_6[[#This Row],[End]]-Term1_Early_Dismissal_6[[#This Row],[Start]])*1440)</f>
        <v/>
      </c>
      <c r="AO71" s="105" t="str">
        <f>IF(ISBLANK(Term1_Early_Dismissal_6[[#This Row],[Activity]]),"",IF(_xlfn.XLOOKUP(Term1_Early_Dismissal_6[[#This Row],[Activity]],Types_of_Activity[Type of Activity],Types_of_Activity[Classification])=1,Term1_Early_Dismissal_6[[#This Row],[Elapsed]],0))</f>
        <v/>
      </c>
      <c r="AP71" s="105" t="str">
        <f>IF(ISBLANK(Term1_Early_Dismissal_6[[#This Row],[Activity]]),"",IF(_xlfn.XLOOKUP(Term1_Early_Dismissal_6[[#This Row],[Activity]],Types_of_Activity[Type of Activity],Types_of_Activity[Classification])=2,Term1_Early_Dismissal_6[[#This Row],[Elapsed]],0))</f>
        <v/>
      </c>
    </row>
    <row r="72" spans="2:42" x14ac:dyDescent="0.3">
      <c r="B72" s="135"/>
      <c r="C72" s="135"/>
      <c r="D72" s="102"/>
      <c r="E72" s="105" t="str">
        <f>IF(OR(ISBLANK(Term1_Early_Dismissal_1[[#This Row],[Start]]),ISBLANK(Term1_Early_Dismissal_1[[#This Row],[End]])),"",(Term1_Early_Dismissal_1[[#This Row],[End]]-Term1_Early_Dismissal_1[[#This Row],[Start]])*1440)</f>
        <v/>
      </c>
      <c r="F72" s="105" t="str">
        <f>IF(ISBLANK(Term1_Early_Dismissal_1[[#This Row],[Activity]]),"",IF(_xlfn.XLOOKUP(Term1_Early_Dismissal_1[[#This Row],[Activity]],Types_of_Activity[Type of Activity],Types_of_Activity[Classification])=1,Term1_Early_Dismissal_1[[#This Row],[Elapsed]],0))</f>
        <v/>
      </c>
      <c r="G72" s="105" t="str">
        <f>IF(ISBLANK(Term1_Early_Dismissal_1[[#This Row],[Activity]]),"",IF(_xlfn.XLOOKUP(Term1_Early_Dismissal_1[[#This Row],[Activity]],Types_of_Activity[Type of Activity],Types_of_Activity[Classification])=2,Term1_Early_Dismissal_1[[#This Row],[Elapsed]],0))</f>
        <v/>
      </c>
      <c r="H72"/>
      <c r="I72" s="135"/>
      <c r="J72" s="135"/>
      <c r="K72" s="102"/>
      <c r="L72" s="105" t="str">
        <f>IF(OR(ISBLANK(Term1_Early_Dismissal_2[[#This Row],[Start]]),ISBLANK(Term1_Early_Dismissal_2[[#This Row],[End]])),"",(Term1_Early_Dismissal_2[[#This Row],[End]]-Term1_Early_Dismissal_2[[#This Row],[Start]])*1440)</f>
        <v/>
      </c>
      <c r="M72" s="105" t="str">
        <f>IF(ISBLANK(Term1_Early_Dismissal_2[[#This Row],[Activity]]),"",IF(_xlfn.XLOOKUP(Term1_Early_Dismissal_2[[#This Row],[Activity]],Types_of_Activity[Type of Activity],Types_of_Activity[Classification])=1,Term1_Early_Dismissal_2[[#This Row],[Elapsed]],0))</f>
        <v/>
      </c>
      <c r="N72" s="105" t="str">
        <f>IF(ISBLANK(Term1_Early_Dismissal_2[[#This Row],[Activity]]),"",IF(_xlfn.XLOOKUP(Term1_Early_Dismissal_2[[#This Row],[Activity]],Types_of_Activity[Type of Activity],Types_of_Activity[Classification])=2,Term1_Early_Dismissal_2[[#This Row],[Elapsed]],0))</f>
        <v/>
      </c>
      <c r="O72"/>
      <c r="P72" s="135"/>
      <c r="Q72" s="135"/>
      <c r="R72" s="102"/>
      <c r="S72" s="105" t="str">
        <f>IF(OR(ISBLANK(Term1_Early_Dismissal_3[[#This Row],[Start]]),ISBLANK(Term1_Early_Dismissal_3[[#This Row],[End]])),"",(Term1_Early_Dismissal_3[[#This Row],[End]]-Term1_Early_Dismissal_3[[#This Row],[Start]])*1440)</f>
        <v/>
      </c>
      <c r="T72" s="105" t="str">
        <f>IF(ISBLANK(Term1_Early_Dismissal_3[[#This Row],[Activity]]),"",IF(_xlfn.XLOOKUP(Term1_Early_Dismissal_3[[#This Row],[Activity]],Types_of_Activity[Type of Activity],Types_of_Activity[Classification])=1,Term1_Early_Dismissal_3[[#This Row],[Elapsed]],0))</f>
        <v/>
      </c>
      <c r="U72" s="105" t="str">
        <f>IF(ISBLANK(Term1_Early_Dismissal_3[[#This Row],[Activity]]),"",IF(_xlfn.XLOOKUP(Term1_Early_Dismissal_3[[#This Row],[Activity]],Types_of_Activity[Type of Activity],Types_of_Activity[Classification])=2,Term1_Early_Dismissal_3[[#This Row],[Elapsed]],0))</f>
        <v/>
      </c>
      <c r="W72" s="135"/>
      <c r="X72" s="135"/>
      <c r="Y72" s="102"/>
      <c r="Z72" s="105" t="str">
        <f>IF(OR(ISBLANK(Term1_Early_Dismissal_4[[#This Row],[Start]]),ISBLANK(Term1_Early_Dismissal_4[[#This Row],[End]])),"",(Term1_Early_Dismissal_4[[#This Row],[End]]-Term1_Early_Dismissal_4[[#This Row],[Start]])*1440)</f>
        <v/>
      </c>
      <c r="AA72" s="105" t="str">
        <f>IF(ISBLANK(Term1_Early_Dismissal_4[[#This Row],[Activity]]),"",IF(_xlfn.XLOOKUP(Term1_Early_Dismissal_4[[#This Row],[Activity]],Types_of_Activity[Type of Activity],Types_of_Activity[Classification])=1,Term1_Early_Dismissal_4[[#This Row],[Elapsed]],0))</f>
        <v/>
      </c>
      <c r="AB72" s="105" t="str">
        <f>IF(ISBLANK(Term1_Early_Dismissal_4[[#This Row],[Activity]]),"",IF(_xlfn.XLOOKUP(Term1_Early_Dismissal_4[[#This Row],[Activity]],Types_of_Activity[Type of Activity],Types_of_Activity[Classification])=2,Term1_Early_Dismissal_4[[#This Row],[Elapsed]],0))</f>
        <v/>
      </c>
      <c r="AD72" s="135"/>
      <c r="AE72" s="135"/>
      <c r="AF72" s="102"/>
      <c r="AG72" s="105" t="str">
        <f>IF(OR(ISBLANK(Term1_Early_Dismissal_5[[#This Row],[Start]]),ISBLANK(Term1_Early_Dismissal_5[[#This Row],[End]])),"",(Term1_Early_Dismissal_5[[#This Row],[End]]-Term1_Early_Dismissal_5[[#This Row],[Start]])*1440)</f>
        <v/>
      </c>
      <c r="AH72" s="105" t="str">
        <f>IF(ISBLANK(Term1_Early_Dismissal_5[[#This Row],[Activity]]),"",IF(_xlfn.XLOOKUP(Term1_Early_Dismissal_5[[#This Row],[Activity]],Types_of_Activity[Type of Activity],Types_of_Activity[Classification])=1,Term1_Early_Dismissal_5[[#This Row],[Elapsed]],0))</f>
        <v/>
      </c>
      <c r="AI72" s="105" t="str">
        <f>IF(ISBLANK(Term1_Early_Dismissal_5[[#This Row],[Activity]]),"",IF(_xlfn.XLOOKUP(Term1_Early_Dismissal_5[[#This Row],[Activity]],Types_of_Activity[Type of Activity],Types_of_Activity[Classification])=2,Term1_Early_Dismissal_5[[#This Row],[Elapsed]],0))</f>
        <v/>
      </c>
      <c r="AK72" s="135"/>
      <c r="AL72" s="135"/>
      <c r="AM72" s="102"/>
      <c r="AN72" s="105" t="str">
        <f>IF(OR(ISBLANK(Term1_Early_Dismissal_6[[#This Row],[Start]]),ISBLANK(Term1_Early_Dismissal_6[[#This Row],[End]])),"",(Term1_Early_Dismissal_6[[#This Row],[End]]-Term1_Early_Dismissal_6[[#This Row],[Start]])*1440)</f>
        <v/>
      </c>
      <c r="AO72" s="105" t="str">
        <f>IF(ISBLANK(Term1_Early_Dismissal_6[[#This Row],[Activity]]),"",IF(_xlfn.XLOOKUP(Term1_Early_Dismissal_6[[#This Row],[Activity]],Types_of_Activity[Type of Activity],Types_of_Activity[Classification])=1,Term1_Early_Dismissal_6[[#This Row],[Elapsed]],0))</f>
        <v/>
      </c>
      <c r="AP72" s="105" t="str">
        <f>IF(ISBLANK(Term1_Early_Dismissal_6[[#This Row],[Activity]]),"",IF(_xlfn.XLOOKUP(Term1_Early_Dismissal_6[[#This Row],[Activity]],Types_of_Activity[Type of Activity],Types_of_Activity[Classification])=2,Term1_Early_Dismissal_6[[#This Row],[Elapsed]],0))</f>
        <v/>
      </c>
    </row>
    <row r="73" spans="2:42" x14ac:dyDescent="0.3">
      <c r="B73" s="135"/>
      <c r="C73" s="135"/>
      <c r="D73" s="102"/>
      <c r="E73" s="105" t="str">
        <f>IF(OR(ISBLANK(Term1_Early_Dismissal_1[[#This Row],[Start]]),ISBLANK(Term1_Early_Dismissal_1[[#This Row],[End]])),"",(Term1_Early_Dismissal_1[[#This Row],[End]]-Term1_Early_Dismissal_1[[#This Row],[Start]])*1440)</f>
        <v/>
      </c>
      <c r="F73" s="105" t="str">
        <f>IF(ISBLANK(Term1_Early_Dismissal_1[[#This Row],[Activity]]),"",IF(_xlfn.XLOOKUP(Term1_Early_Dismissal_1[[#This Row],[Activity]],Types_of_Activity[Type of Activity],Types_of_Activity[Classification])=1,Term1_Early_Dismissal_1[[#This Row],[Elapsed]],0))</f>
        <v/>
      </c>
      <c r="G73" s="105" t="str">
        <f>IF(ISBLANK(Term1_Early_Dismissal_1[[#This Row],[Activity]]),"",IF(_xlfn.XLOOKUP(Term1_Early_Dismissal_1[[#This Row],[Activity]],Types_of_Activity[Type of Activity],Types_of_Activity[Classification])=2,Term1_Early_Dismissal_1[[#This Row],[Elapsed]],0))</f>
        <v/>
      </c>
      <c r="H73"/>
      <c r="I73" s="135"/>
      <c r="J73" s="135"/>
      <c r="K73" s="102"/>
      <c r="L73" s="105" t="str">
        <f>IF(OR(ISBLANK(Term1_Early_Dismissal_2[[#This Row],[Start]]),ISBLANK(Term1_Early_Dismissal_2[[#This Row],[End]])),"",(Term1_Early_Dismissal_2[[#This Row],[End]]-Term1_Early_Dismissal_2[[#This Row],[Start]])*1440)</f>
        <v/>
      </c>
      <c r="M73" s="105" t="str">
        <f>IF(ISBLANK(Term1_Early_Dismissal_2[[#This Row],[Activity]]),"",IF(_xlfn.XLOOKUP(Term1_Early_Dismissal_2[[#This Row],[Activity]],Types_of_Activity[Type of Activity],Types_of_Activity[Classification])=1,Term1_Early_Dismissal_2[[#This Row],[Elapsed]],0))</f>
        <v/>
      </c>
      <c r="N73" s="105" t="str">
        <f>IF(ISBLANK(Term1_Early_Dismissal_2[[#This Row],[Activity]]),"",IF(_xlfn.XLOOKUP(Term1_Early_Dismissal_2[[#This Row],[Activity]],Types_of_Activity[Type of Activity],Types_of_Activity[Classification])=2,Term1_Early_Dismissal_2[[#This Row],[Elapsed]],0))</f>
        <v/>
      </c>
      <c r="O73"/>
      <c r="P73" s="135"/>
      <c r="Q73" s="135"/>
      <c r="R73" s="102"/>
      <c r="S73" s="105" t="str">
        <f>IF(OR(ISBLANK(Term1_Early_Dismissal_3[[#This Row],[Start]]),ISBLANK(Term1_Early_Dismissal_3[[#This Row],[End]])),"",(Term1_Early_Dismissal_3[[#This Row],[End]]-Term1_Early_Dismissal_3[[#This Row],[Start]])*1440)</f>
        <v/>
      </c>
      <c r="T73" s="105" t="str">
        <f>IF(ISBLANK(Term1_Early_Dismissal_3[[#This Row],[Activity]]),"",IF(_xlfn.XLOOKUP(Term1_Early_Dismissal_3[[#This Row],[Activity]],Types_of_Activity[Type of Activity],Types_of_Activity[Classification])=1,Term1_Early_Dismissal_3[[#This Row],[Elapsed]],0))</f>
        <v/>
      </c>
      <c r="U73" s="105" t="str">
        <f>IF(ISBLANK(Term1_Early_Dismissal_3[[#This Row],[Activity]]),"",IF(_xlfn.XLOOKUP(Term1_Early_Dismissal_3[[#This Row],[Activity]],Types_of_Activity[Type of Activity],Types_of_Activity[Classification])=2,Term1_Early_Dismissal_3[[#This Row],[Elapsed]],0))</f>
        <v/>
      </c>
      <c r="W73" s="135"/>
      <c r="X73" s="135"/>
      <c r="Y73" s="102"/>
      <c r="Z73" s="105" t="str">
        <f>IF(OR(ISBLANK(Term1_Early_Dismissal_4[[#This Row],[Start]]),ISBLANK(Term1_Early_Dismissal_4[[#This Row],[End]])),"",(Term1_Early_Dismissal_4[[#This Row],[End]]-Term1_Early_Dismissal_4[[#This Row],[Start]])*1440)</f>
        <v/>
      </c>
      <c r="AA73" s="105" t="str">
        <f>IF(ISBLANK(Term1_Early_Dismissal_4[[#This Row],[Activity]]),"",IF(_xlfn.XLOOKUP(Term1_Early_Dismissal_4[[#This Row],[Activity]],Types_of_Activity[Type of Activity],Types_of_Activity[Classification])=1,Term1_Early_Dismissal_4[[#This Row],[Elapsed]],0))</f>
        <v/>
      </c>
      <c r="AB73" s="105" t="str">
        <f>IF(ISBLANK(Term1_Early_Dismissal_4[[#This Row],[Activity]]),"",IF(_xlfn.XLOOKUP(Term1_Early_Dismissal_4[[#This Row],[Activity]],Types_of_Activity[Type of Activity],Types_of_Activity[Classification])=2,Term1_Early_Dismissal_4[[#This Row],[Elapsed]],0))</f>
        <v/>
      </c>
      <c r="AD73" s="135"/>
      <c r="AE73" s="135"/>
      <c r="AF73" s="102"/>
      <c r="AG73" s="105" t="str">
        <f>IF(OR(ISBLANK(Term1_Early_Dismissal_5[[#This Row],[Start]]),ISBLANK(Term1_Early_Dismissal_5[[#This Row],[End]])),"",(Term1_Early_Dismissal_5[[#This Row],[End]]-Term1_Early_Dismissal_5[[#This Row],[Start]])*1440)</f>
        <v/>
      </c>
      <c r="AH73" s="105" t="str">
        <f>IF(ISBLANK(Term1_Early_Dismissal_5[[#This Row],[Activity]]),"",IF(_xlfn.XLOOKUP(Term1_Early_Dismissal_5[[#This Row],[Activity]],Types_of_Activity[Type of Activity],Types_of_Activity[Classification])=1,Term1_Early_Dismissal_5[[#This Row],[Elapsed]],0))</f>
        <v/>
      </c>
      <c r="AI73" s="105" t="str">
        <f>IF(ISBLANK(Term1_Early_Dismissal_5[[#This Row],[Activity]]),"",IF(_xlfn.XLOOKUP(Term1_Early_Dismissal_5[[#This Row],[Activity]],Types_of_Activity[Type of Activity],Types_of_Activity[Classification])=2,Term1_Early_Dismissal_5[[#This Row],[Elapsed]],0))</f>
        <v/>
      </c>
      <c r="AK73" s="135"/>
      <c r="AL73" s="135"/>
      <c r="AM73" s="102"/>
      <c r="AN73" s="105" t="str">
        <f>IF(OR(ISBLANK(Term1_Early_Dismissal_6[[#This Row],[Start]]),ISBLANK(Term1_Early_Dismissal_6[[#This Row],[End]])),"",(Term1_Early_Dismissal_6[[#This Row],[End]]-Term1_Early_Dismissal_6[[#This Row],[Start]])*1440)</f>
        <v/>
      </c>
      <c r="AO73" s="105" t="str">
        <f>IF(ISBLANK(Term1_Early_Dismissal_6[[#This Row],[Activity]]),"",IF(_xlfn.XLOOKUP(Term1_Early_Dismissal_6[[#This Row],[Activity]],Types_of_Activity[Type of Activity],Types_of_Activity[Classification])=1,Term1_Early_Dismissal_6[[#This Row],[Elapsed]],0))</f>
        <v/>
      </c>
      <c r="AP73" s="105" t="str">
        <f>IF(ISBLANK(Term1_Early_Dismissal_6[[#This Row],[Activity]]),"",IF(_xlfn.XLOOKUP(Term1_Early_Dismissal_6[[#This Row],[Activity]],Types_of_Activity[Type of Activity],Types_of_Activity[Classification])=2,Term1_Early_Dismissal_6[[#This Row],[Elapsed]],0))</f>
        <v/>
      </c>
    </row>
    <row r="74" spans="2:42" x14ac:dyDescent="0.3">
      <c r="B74" s="135"/>
      <c r="C74" s="135"/>
      <c r="D74" s="102"/>
      <c r="E74" s="105" t="str">
        <f>IF(OR(ISBLANK(Term1_Early_Dismissal_1[[#This Row],[Start]]),ISBLANK(Term1_Early_Dismissal_1[[#This Row],[End]])),"",(Term1_Early_Dismissal_1[[#This Row],[End]]-Term1_Early_Dismissal_1[[#This Row],[Start]])*1440)</f>
        <v/>
      </c>
      <c r="F74" s="105" t="str">
        <f>IF(ISBLANK(Term1_Early_Dismissal_1[[#This Row],[Activity]]),"",IF(_xlfn.XLOOKUP(Term1_Early_Dismissal_1[[#This Row],[Activity]],Types_of_Activity[Type of Activity],Types_of_Activity[Classification])=1,Term1_Early_Dismissal_1[[#This Row],[Elapsed]],0))</f>
        <v/>
      </c>
      <c r="G74" s="105" t="str">
        <f>IF(ISBLANK(Term1_Early_Dismissal_1[[#This Row],[Activity]]),"",IF(_xlfn.XLOOKUP(Term1_Early_Dismissal_1[[#This Row],[Activity]],Types_of_Activity[Type of Activity],Types_of_Activity[Classification])=2,Term1_Early_Dismissal_1[[#This Row],[Elapsed]],0))</f>
        <v/>
      </c>
      <c r="H74"/>
      <c r="I74" s="135"/>
      <c r="J74" s="135"/>
      <c r="K74" s="102"/>
      <c r="L74" s="105" t="str">
        <f>IF(OR(ISBLANK(Term1_Early_Dismissal_2[[#This Row],[Start]]),ISBLANK(Term1_Early_Dismissal_2[[#This Row],[End]])),"",(Term1_Early_Dismissal_2[[#This Row],[End]]-Term1_Early_Dismissal_2[[#This Row],[Start]])*1440)</f>
        <v/>
      </c>
      <c r="M74" s="105" t="str">
        <f>IF(ISBLANK(Term1_Early_Dismissal_2[[#This Row],[Activity]]),"",IF(_xlfn.XLOOKUP(Term1_Early_Dismissal_2[[#This Row],[Activity]],Types_of_Activity[Type of Activity],Types_of_Activity[Classification])=1,Term1_Early_Dismissal_2[[#This Row],[Elapsed]],0))</f>
        <v/>
      </c>
      <c r="N74" s="105" t="str">
        <f>IF(ISBLANK(Term1_Early_Dismissal_2[[#This Row],[Activity]]),"",IF(_xlfn.XLOOKUP(Term1_Early_Dismissal_2[[#This Row],[Activity]],Types_of_Activity[Type of Activity],Types_of_Activity[Classification])=2,Term1_Early_Dismissal_2[[#This Row],[Elapsed]],0))</f>
        <v/>
      </c>
      <c r="O74"/>
      <c r="P74" s="135"/>
      <c r="Q74" s="135"/>
      <c r="R74" s="102"/>
      <c r="S74" s="105" t="str">
        <f>IF(OR(ISBLANK(Term1_Early_Dismissal_3[[#This Row],[Start]]),ISBLANK(Term1_Early_Dismissal_3[[#This Row],[End]])),"",(Term1_Early_Dismissal_3[[#This Row],[End]]-Term1_Early_Dismissal_3[[#This Row],[Start]])*1440)</f>
        <v/>
      </c>
      <c r="T74" s="105" t="str">
        <f>IF(ISBLANK(Term1_Early_Dismissal_3[[#This Row],[Activity]]),"",IF(_xlfn.XLOOKUP(Term1_Early_Dismissal_3[[#This Row],[Activity]],Types_of_Activity[Type of Activity],Types_of_Activity[Classification])=1,Term1_Early_Dismissal_3[[#This Row],[Elapsed]],0))</f>
        <v/>
      </c>
      <c r="U74" s="105" t="str">
        <f>IF(ISBLANK(Term1_Early_Dismissal_3[[#This Row],[Activity]]),"",IF(_xlfn.XLOOKUP(Term1_Early_Dismissal_3[[#This Row],[Activity]],Types_of_Activity[Type of Activity],Types_of_Activity[Classification])=2,Term1_Early_Dismissal_3[[#This Row],[Elapsed]],0))</f>
        <v/>
      </c>
      <c r="W74" s="135"/>
      <c r="X74" s="135"/>
      <c r="Y74" s="102"/>
      <c r="Z74" s="105" t="str">
        <f>IF(OR(ISBLANK(Term1_Early_Dismissal_4[[#This Row],[Start]]),ISBLANK(Term1_Early_Dismissal_4[[#This Row],[End]])),"",(Term1_Early_Dismissal_4[[#This Row],[End]]-Term1_Early_Dismissal_4[[#This Row],[Start]])*1440)</f>
        <v/>
      </c>
      <c r="AA74" s="105" t="str">
        <f>IF(ISBLANK(Term1_Early_Dismissal_4[[#This Row],[Activity]]),"",IF(_xlfn.XLOOKUP(Term1_Early_Dismissal_4[[#This Row],[Activity]],Types_of_Activity[Type of Activity],Types_of_Activity[Classification])=1,Term1_Early_Dismissal_4[[#This Row],[Elapsed]],0))</f>
        <v/>
      </c>
      <c r="AB74" s="105" t="str">
        <f>IF(ISBLANK(Term1_Early_Dismissal_4[[#This Row],[Activity]]),"",IF(_xlfn.XLOOKUP(Term1_Early_Dismissal_4[[#This Row],[Activity]],Types_of_Activity[Type of Activity],Types_of_Activity[Classification])=2,Term1_Early_Dismissal_4[[#This Row],[Elapsed]],0))</f>
        <v/>
      </c>
      <c r="AD74" s="135"/>
      <c r="AE74" s="135"/>
      <c r="AF74" s="102"/>
      <c r="AG74" s="105" t="str">
        <f>IF(OR(ISBLANK(Term1_Early_Dismissal_5[[#This Row],[Start]]),ISBLANK(Term1_Early_Dismissal_5[[#This Row],[End]])),"",(Term1_Early_Dismissal_5[[#This Row],[End]]-Term1_Early_Dismissal_5[[#This Row],[Start]])*1440)</f>
        <v/>
      </c>
      <c r="AH74" s="105" t="str">
        <f>IF(ISBLANK(Term1_Early_Dismissal_5[[#This Row],[Activity]]),"",IF(_xlfn.XLOOKUP(Term1_Early_Dismissal_5[[#This Row],[Activity]],Types_of_Activity[Type of Activity],Types_of_Activity[Classification])=1,Term1_Early_Dismissal_5[[#This Row],[Elapsed]],0))</f>
        <v/>
      </c>
      <c r="AI74" s="105" t="str">
        <f>IF(ISBLANK(Term1_Early_Dismissal_5[[#This Row],[Activity]]),"",IF(_xlfn.XLOOKUP(Term1_Early_Dismissal_5[[#This Row],[Activity]],Types_of_Activity[Type of Activity],Types_of_Activity[Classification])=2,Term1_Early_Dismissal_5[[#This Row],[Elapsed]],0))</f>
        <v/>
      </c>
      <c r="AK74" s="135"/>
      <c r="AL74" s="135"/>
      <c r="AM74" s="102"/>
      <c r="AN74" s="105" t="str">
        <f>IF(OR(ISBLANK(Term1_Early_Dismissal_6[[#This Row],[Start]]),ISBLANK(Term1_Early_Dismissal_6[[#This Row],[End]])),"",(Term1_Early_Dismissal_6[[#This Row],[End]]-Term1_Early_Dismissal_6[[#This Row],[Start]])*1440)</f>
        <v/>
      </c>
      <c r="AO74" s="105" t="str">
        <f>IF(ISBLANK(Term1_Early_Dismissal_6[[#This Row],[Activity]]),"",IF(_xlfn.XLOOKUP(Term1_Early_Dismissal_6[[#This Row],[Activity]],Types_of_Activity[Type of Activity],Types_of_Activity[Classification])=1,Term1_Early_Dismissal_6[[#This Row],[Elapsed]],0))</f>
        <v/>
      </c>
      <c r="AP74" s="105" t="str">
        <f>IF(ISBLANK(Term1_Early_Dismissal_6[[#This Row],[Activity]]),"",IF(_xlfn.XLOOKUP(Term1_Early_Dismissal_6[[#This Row],[Activity]],Types_of_Activity[Type of Activity],Types_of_Activity[Classification])=2,Term1_Early_Dismissal_6[[#This Row],[Elapsed]],0))</f>
        <v/>
      </c>
    </row>
    <row r="75" spans="2:42" x14ac:dyDescent="0.3">
      <c r="B75" s="135"/>
      <c r="C75" s="135"/>
      <c r="D75" s="102"/>
      <c r="E75" s="105" t="str">
        <f>IF(OR(ISBLANK(Term1_Early_Dismissal_1[[#This Row],[Start]]),ISBLANK(Term1_Early_Dismissal_1[[#This Row],[End]])),"",(Term1_Early_Dismissal_1[[#This Row],[End]]-Term1_Early_Dismissal_1[[#This Row],[Start]])*1440)</f>
        <v/>
      </c>
      <c r="F75" s="105" t="str">
        <f>IF(ISBLANK(Term1_Early_Dismissal_1[[#This Row],[Activity]]),"",IF(_xlfn.XLOOKUP(Term1_Early_Dismissal_1[[#This Row],[Activity]],Types_of_Activity[Type of Activity],Types_of_Activity[Classification])=1,Term1_Early_Dismissal_1[[#This Row],[Elapsed]],0))</f>
        <v/>
      </c>
      <c r="G75" s="105" t="str">
        <f>IF(ISBLANK(Term1_Early_Dismissal_1[[#This Row],[Activity]]),"",IF(_xlfn.XLOOKUP(Term1_Early_Dismissal_1[[#This Row],[Activity]],Types_of_Activity[Type of Activity],Types_of_Activity[Classification])=2,Term1_Early_Dismissal_1[[#This Row],[Elapsed]],0))</f>
        <v/>
      </c>
      <c r="H75"/>
      <c r="I75" s="135"/>
      <c r="J75" s="135"/>
      <c r="K75" s="102"/>
      <c r="L75" s="105" t="str">
        <f>IF(OR(ISBLANK(Term1_Early_Dismissal_2[[#This Row],[Start]]),ISBLANK(Term1_Early_Dismissal_2[[#This Row],[End]])),"",(Term1_Early_Dismissal_2[[#This Row],[End]]-Term1_Early_Dismissal_2[[#This Row],[Start]])*1440)</f>
        <v/>
      </c>
      <c r="M75" s="105" t="str">
        <f>IF(ISBLANK(Term1_Early_Dismissal_2[[#This Row],[Activity]]),"",IF(_xlfn.XLOOKUP(Term1_Early_Dismissal_2[[#This Row],[Activity]],Types_of_Activity[Type of Activity],Types_of_Activity[Classification])=1,Term1_Early_Dismissal_2[[#This Row],[Elapsed]],0))</f>
        <v/>
      </c>
      <c r="N75" s="105" t="str">
        <f>IF(ISBLANK(Term1_Early_Dismissal_2[[#This Row],[Activity]]),"",IF(_xlfn.XLOOKUP(Term1_Early_Dismissal_2[[#This Row],[Activity]],Types_of_Activity[Type of Activity],Types_of_Activity[Classification])=2,Term1_Early_Dismissal_2[[#This Row],[Elapsed]],0))</f>
        <v/>
      </c>
      <c r="O75"/>
      <c r="P75" s="135"/>
      <c r="Q75" s="135"/>
      <c r="R75" s="102"/>
      <c r="S75" s="105" t="str">
        <f>IF(OR(ISBLANK(Term1_Early_Dismissal_3[[#This Row],[Start]]),ISBLANK(Term1_Early_Dismissal_3[[#This Row],[End]])),"",(Term1_Early_Dismissal_3[[#This Row],[End]]-Term1_Early_Dismissal_3[[#This Row],[Start]])*1440)</f>
        <v/>
      </c>
      <c r="T75" s="105" t="str">
        <f>IF(ISBLANK(Term1_Early_Dismissal_3[[#This Row],[Activity]]),"",IF(_xlfn.XLOOKUP(Term1_Early_Dismissal_3[[#This Row],[Activity]],Types_of_Activity[Type of Activity],Types_of_Activity[Classification])=1,Term1_Early_Dismissal_3[[#This Row],[Elapsed]],0))</f>
        <v/>
      </c>
      <c r="U75" s="105" t="str">
        <f>IF(ISBLANK(Term1_Early_Dismissal_3[[#This Row],[Activity]]),"",IF(_xlfn.XLOOKUP(Term1_Early_Dismissal_3[[#This Row],[Activity]],Types_of_Activity[Type of Activity],Types_of_Activity[Classification])=2,Term1_Early_Dismissal_3[[#This Row],[Elapsed]],0))</f>
        <v/>
      </c>
      <c r="W75" s="135"/>
      <c r="X75" s="135"/>
      <c r="Y75" s="102"/>
      <c r="Z75" s="105" t="str">
        <f>IF(OR(ISBLANK(Term1_Early_Dismissal_4[[#This Row],[Start]]),ISBLANK(Term1_Early_Dismissal_4[[#This Row],[End]])),"",(Term1_Early_Dismissal_4[[#This Row],[End]]-Term1_Early_Dismissal_4[[#This Row],[Start]])*1440)</f>
        <v/>
      </c>
      <c r="AA75" s="105" t="str">
        <f>IF(ISBLANK(Term1_Early_Dismissal_4[[#This Row],[Activity]]),"",IF(_xlfn.XLOOKUP(Term1_Early_Dismissal_4[[#This Row],[Activity]],Types_of_Activity[Type of Activity],Types_of_Activity[Classification])=1,Term1_Early_Dismissal_4[[#This Row],[Elapsed]],0))</f>
        <v/>
      </c>
      <c r="AB75" s="105" t="str">
        <f>IF(ISBLANK(Term1_Early_Dismissal_4[[#This Row],[Activity]]),"",IF(_xlfn.XLOOKUP(Term1_Early_Dismissal_4[[#This Row],[Activity]],Types_of_Activity[Type of Activity],Types_of_Activity[Classification])=2,Term1_Early_Dismissal_4[[#This Row],[Elapsed]],0))</f>
        <v/>
      </c>
      <c r="AD75" s="135"/>
      <c r="AE75" s="135"/>
      <c r="AF75" s="102"/>
      <c r="AG75" s="105" t="str">
        <f>IF(OR(ISBLANK(Term1_Early_Dismissal_5[[#This Row],[Start]]),ISBLANK(Term1_Early_Dismissal_5[[#This Row],[End]])),"",(Term1_Early_Dismissal_5[[#This Row],[End]]-Term1_Early_Dismissal_5[[#This Row],[Start]])*1440)</f>
        <v/>
      </c>
      <c r="AH75" s="105" t="str">
        <f>IF(ISBLANK(Term1_Early_Dismissal_5[[#This Row],[Activity]]),"",IF(_xlfn.XLOOKUP(Term1_Early_Dismissal_5[[#This Row],[Activity]],Types_of_Activity[Type of Activity],Types_of_Activity[Classification])=1,Term1_Early_Dismissal_5[[#This Row],[Elapsed]],0))</f>
        <v/>
      </c>
      <c r="AI75" s="105" t="str">
        <f>IF(ISBLANK(Term1_Early_Dismissal_5[[#This Row],[Activity]]),"",IF(_xlfn.XLOOKUP(Term1_Early_Dismissal_5[[#This Row],[Activity]],Types_of_Activity[Type of Activity],Types_of_Activity[Classification])=2,Term1_Early_Dismissal_5[[#This Row],[Elapsed]],0))</f>
        <v/>
      </c>
      <c r="AK75" s="135"/>
      <c r="AL75" s="135"/>
      <c r="AM75" s="102"/>
      <c r="AN75" s="105" t="str">
        <f>IF(OR(ISBLANK(Term1_Early_Dismissal_6[[#This Row],[Start]]),ISBLANK(Term1_Early_Dismissal_6[[#This Row],[End]])),"",(Term1_Early_Dismissal_6[[#This Row],[End]]-Term1_Early_Dismissal_6[[#This Row],[Start]])*1440)</f>
        <v/>
      </c>
      <c r="AO75" s="105" t="str">
        <f>IF(ISBLANK(Term1_Early_Dismissal_6[[#This Row],[Activity]]),"",IF(_xlfn.XLOOKUP(Term1_Early_Dismissal_6[[#This Row],[Activity]],Types_of_Activity[Type of Activity],Types_of_Activity[Classification])=1,Term1_Early_Dismissal_6[[#This Row],[Elapsed]],0))</f>
        <v/>
      </c>
      <c r="AP75" s="105" t="str">
        <f>IF(ISBLANK(Term1_Early_Dismissal_6[[#This Row],[Activity]]),"",IF(_xlfn.XLOOKUP(Term1_Early_Dismissal_6[[#This Row],[Activity]],Types_of_Activity[Type of Activity],Types_of_Activity[Classification])=2,Term1_Early_Dismissal_6[[#This Row],[Elapsed]],0))</f>
        <v/>
      </c>
    </row>
    <row r="76" spans="2:42" x14ac:dyDescent="0.3">
      <c r="B76" s="135"/>
      <c r="C76" s="135"/>
      <c r="D76" s="102"/>
      <c r="E76" s="105" t="str">
        <f>IF(OR(ISBLANK(Term1_Early_Dismissal_1[[#This Row],[Start]]),ISBLANK(Term1_Early_Dismissal_1[[#This Row],[End]])),"",(Term1_Early_Dismissal_1[[#This Row],[End]]-Term1_Early_Dismissal_1[[#This Row],[Start]])*1440)</f>
        <v/>
      </c>
      <c r="F76" s="105" t="str">
        <f>IF(ISBLANK(Term1_Early_Dismissal_1[[#This Row],[Activity]]),"",IF(_xlfn.XLOOKUP(Term1_Early_Dismissal_1[[#This Row],[Activity]],Types_of_Activity[Type of Activity],Types_of_Activity[Classification])=1,Term1_Early_Dismissal_1[[#This Row],[Elapsed]],0))</f>
        <v/>
      </c>
      <c r="G76" s="105" t="str">
        <f>IF(ISBLANK(Term1_Early_Dismissal_1[[#This Row],[Activity]]),"",IF(_xlfn.XLOOKUP(Term1_Early_Dismissal_1[[#This Row],[Activity]],Types_of_Activity[Type of Activity],Types_of_Activity[Classification])=2,Term1_Early_Dismissal_1[[#This Row],[Elapsed]],0))</f>
        <v/>
      </c>
      <c r="H76"/>
      <c r="I76" s="135"/>
      <c r="J76" s="135"/>
      <c r="K76" s="102"/>
      <c r="L76" s="105" t="str">
        <f>IF(OR(ISBLANK(Term1_Early_Dismissal_2[[#This Row],[Start]]),ISBLANK(Term1_Early_Dismissal_2[[#This Row],[End]])),"",(Term1_Early_Dismissal_2[[#This Row],[End]]-Term1_Early_Dismissal_2[[#This Row],[Start]])*1440)</f>
        <v/>
      </c>
      <c r="M76" s="105" t="str">
        <f>IF(ISBLANK(Term1_Early_Dismissal_2[[#This Row],[Activity]]),"",IF(_xlfn.XLOOKUP(Term1_Early_Dismissal_2[[#This Row],[Activity]],Types_of_Activity[Type of Activity],Types_of_Activity[Classification])=1,Term1_Early_Dismissal_2[[#This Row],[Elapsed]],0))</f>
        <v/>
      </c>
      <c r="N76" s="105" t="str">
        <f>IF(ISBLANK(Term1_Early_Dismissal_2[[#This Row],[Activity]]),"",IF(_xlfn.XLOOKUP(Term1_Early_Dismissal_2[[#This Row],[Activity]],Types_of_Activity[Type of Activity],Types_of_Activity[Classification])=2,Term1_Early_Dismissal_2[[#This Row],[Elapsed]],0))</f>
        <v/>
      </c>
      <c r="O76"/>
      <c r="P76" s="135"/>
      <c r="Q76" s="135"/>
      <c r="R76" s="102"/>
      <c r="S76" s="105" t="str">
        <f>IF(OR(ISBLANK(Term1_Early_Dismissal_3[[#This Row],[Start]]),ISBLANK(Term1_Early_Dismissal_3[[#This Row],[End]])),"",(Term1_Early_Dismissal_3[[#This Row],[End]]-Term1_Early_Dismissal_3[[#This Row],[Start]])*1440)</f>
        <v/>
      </c>
      <c r="T76" s="105" t="str">
        <f>IF(ISBLANK(Term1_Early_Dismissal_3[[#This Row],[Activity]]),"",IF(_xlfn.XLOOKUP(Term1_Early_Dismissal_3[[#This Row],[Activity]],Types_of_Activity[Type of Activity],Types_of_Activity[Classification])=1,Term1_Early_Dismissal_3[[#This Row],[Elapsed]],0))</f>
        <v/>
      </c>
      <c r="U76" s="105" t="str">
        <f>IF(ISBLANK(Term1_Early_Dismissal_3[[#This Row],[Activity]]),"",IF(_xlfn.XLOOKUP(Term1_Early_Dismissal_3[[#This Row],[Activity]],Types_of_Activity[Type of Activity],Types_of_Activity[Classification])=2,Term1_Early_Dismissal_3[[#This Row],[Elapsed]],0))</f>
        <v/>
      </c>
      <c r="W76" s="135"/>
      <c r="X76" s="135"/>
      <c r="Y76" s="102"/>
      <c r="Z76" s="105" t="str">
        <f>IF(OR(ISBLANK(Term1_Early_Dismissal_4[[#This Row],[Start]]),ISBLANK(Term1_Early_Dismissal_4[[#This Row],[End]])),"",(Term1_Early_Dismissal_4[[#This Row],[End]]-Term1_Early_Dismissal_4[[#This Row],[Start]])*1440)</f>
        <v/>
      </c>
      <c r="AA76" s="105" t="str">
        <f>IF(ISBLANK(Term1_Early_Dismissal_4[[#This Row],[Activity]]),"",IF(_xlfn.XLOOKUP(Term1_Early_Dismissal_4[[#This Row],[Activity]],Types_of_Activity[Type of Activity],Types_of_Activity[Classification])=1,Term1_Early_Dismissal_4[[#This Row],[Elapsed]],0))</f>
        <v/>
      </c>
      <c r="AB76" s="105" t="str">
        <f>IF(ISBLANK(Term1_Early_Dismissal_4[[#This Row],[Activity]]),"",IF(_xlfn.XLOOKUP(Term1_Early_Dismissal_4[[#This Row],[Activity]],Types_of_Activity[Type of Activity],Types_of_Activity[Classification])=2,Term1_Early_Dismissal_4[[#This Row],[Elapsed]],0))</f>
        <v/>
      </c>
      <c r="AD76" s="135"/>
      <c r="AE76" s="135"/>
      <c r="AF76" s="102"/>
      <c r="AG76" s="105" t="str">
        <f>IF(OR(ISBLANK(Term1_Early_Dismissal_5[[#This Row],[Start]]),ISBLANK(Term1_Early_Dismissal_5[[#This Row],[End]])),"",(Term1_Early_Dismissal_5[[#This Row],[End]]-Term1_Early_Dismissal_5[[#This Row],[Start]])*1440)</f>
        <v/>
      </c>
      <c r="AH76" s="105" t="str">
        <f>IF(ISBLANK(Term1_Early_Dismissal_5[[#This Row],[Activity]]),"",IF(_xlfn.XLOOKUP(Term1_Early_Dismissal_5[[#This Row],[Activity]],Types_of_Activity[Type of Activity],Types_of_Activity[Classification])=1,Term1_Early_Dismissal_5[[#This Row],[Elapsed]],0))</f>
        <v/>
      </c>
      <c r="AI76" s="105" t="str">
        <f>IF(ISBLANK(Term1_Early_Dismissal_5[[#This Row],[Activity]]),"",IF(_xlfn.XLOOKUP(Term1_Early_Dismissal_5[[#This Row],[Activity]],Types_of_Activity[Type of Activity],Types_of_Activity[Classification])=2,Term1_Early_Dismissal_5[[#This Row],[Elapsed]],0))</f>
        <v/>
      </c>
      <c r="AK76" s="135"/>
      <c r="AL76" s="135"/>
      <c r="AM76" s="102"/>
      <c r="AN76" s="105" t="str">
        <f>IF(OR(ISBLANK(Term1_Early_Dismissal_6[[#This Row],[Start]]),ISBLANK(Term1_Early_Dismissal_6[[#This Row],[End]])),"",(Term1_Early_Dismissal_6[[#This Row],[End]]-Term1_Early_Dismissal_6[[#This Row],[Start]])*1440)</f>
        <v/>
      </c>
      <c r="AO76" s="105" t="str">
        <f>IF(ISBLANK(Term1_Early_Dismissal_6[[#This Row],[Activity]]),"",IF(_xlfn.XLOOKUP(Term1_Early_Dismissal_6[[#This Row],[Activity]],Types_of_Activity[Type of Activity],Types_of_Activity[Classification])=1,Term1_Early_Dismissal_6[[#This Row],[Elapsed]],0))</f>
        <v/>
      </c>
      <c r="AP76" s="105" t="str">
        <f>IF(ISBLANK(Term1_Early_Dismissal_6[[#This Row],[Activity]]),"",IF(_xlfn.XLOOKUP(Term1_Early_Dismissal_6[[#This Row],[Activity]],Types_of_Activity[Type of Activity],Types_of_Activity[Classification])=2,Term1_Early_Dismissal_6[[#This Row],[Elapsed]],0))</f>
        <v/>
      </c>
    </row>
    <row r="77" spans="2:42" x14ac:dyDescent="0.3">
      <c r="B77" s="135"/>
      <c r="C77" s="135"/>
      <c r="D77" s="102"/>
      <c r="E77" s="105" t="str">
        <f>IF(OR(ISBLANK(Term1_Early_Dismissal_1[[#This Row],[Start]]),ISBLANK(Term1_Early_Dismissal_1[[#This Row],[End]])),"",(Term1_Early_Dismissal_1[[#This Row],[End]]-Term1_Early_Dismissal_1[[#This Row],[Start]])*1440)</f>
        <v/>
      </c>
      <c r="F77" s="105" t="str">
        <f>IF(ISBLANK(Term1_Early_Dismissal_1[[#This Row],[Activity]]),"",IF(_xlfn.XLOOKUP(Term1_Early_Dismissal_1[[#This Row],[Activity]],Types_of_Activity[Type of Activity],Types_of_Activity[Classification])=1,Term1_Early_Dismissal_1[[#This Row],[Elapsed]],0))</f>
        <v/>
      </c>
      <c r="G77" s="105" t="str">
        <f>IF(ISBLANK(Term1_Early_Dismissal_1[[#This Row],[Activity]]),"",IF(_xlfn.XLOOKUP(Term1_Early_Dismissal_1[[#This Row],[Activity]],Types_of_Activity[Type of Activity],Types_of_Activity[Classification])=2,Term1_Early_Dismissal_1[[#This Row],[Elapsed]],0))</f>
        <v/>
      </c>
      <c r="H77"/>
      <c r="I77" s="135"/>
      <c r="J77" s="135"/>
      <c r="K77" s="102"/>
      <c r="L77" s="105" t="str">
        <f>IF(OR(ISBLANK(Term1_Early_Dismissal_2[[#This Row],[Start]]),ISBLANK(Term1_Early_Dismissal_2[[#This Row],[End]])),"",(Term1_Early_Dismissal_2[[#This Row],[End]]-Term1_Early_Dismissal_2[[#This Row],[Start]])*1440)</f>
        <v/>
      </c>
      <c r="M77" s="105" t="str">
        <f>IF(ISBLANK(Term1_Early_Dismissal_2[[#This Row],[Activity]]),"",IF(_xlfn.XLOOKUP(Term1_Early_Dismissal_2[[#This Row],[Activity]],Types_of_Activity[Type of Activity],Types_of_Activity[Classification])=1,Term1_Early_Dismissal_2[[#This Row],[Elapsed]],0))</f>
        <v/>
      </c>
      <c r="N77" s="105" t="str">
        <f>IF(ISBLANK(Term1_Early_Dismissal_2[[#This Row],[Activity]]),"",IF(_xlfn.XLOOKUP(Term1_Early_Dismissal_2[[#This Row],[Activity]],Types_of_Activity[Type of Activity],Types_of_Activity[Classification])=2,Term1_Early_Dismissal_2[[#This Row],[Elapsed]],0))</f>
        <v/>
      </c>
      <c r="O77"/>
      <c r="P77" s="135"/>
      <c r="Q77" s="135"/>
      <c r="R77" s="102"/>
      <c r="S77" s="105" t="str">
        <f>IF(OR(ISBLANK(Term1_Early_Dismissal_3[[#This Row],[Start]]),ISBLANK(Term1_Early_Dismissal_3[[#This Row],[End]])),"",(Term1_Early_Dismissal_3[[#This Row],[End]]-Term1_Early_Dismissal_3[[#This Row],[Start]])*1440)</f>
        <v/>
      </c>
      <c r="T77" s="105" t="str">
        <f>IF(ISBLANK(Term1_Early_Dismissal_3[[#This Row],[Activity]]),"",IF(_xlfn.XLOOKUP(Term1_Early_Dismissal_3[[#This Row],[Activity]],Types_of_Activity[Type of Activity],Types_of_Activity[Classification])=1,Term1_Early_Dismissal_3[[#This Row],[Elapsed]],0))</f>
        <v/>
      </c>
      <c r="U77" s="105" t="str">
        <f>IF(ISBLANK(Term1_Early_Dismissal_3[[#This Row],[Activity]]),"",IF(_xlfn.XLOOKUP(Term1_Early_Dismissal_3[[#This Row],[Activity]],Types_of_Activity[Type of Activity],Types_of_Activity[Classification])=2,Term1_Early_Dismissal_3[[#This Row],[Elapsed]],0))</f>
        <v/>
      </c>
      <c r="W77" s="135"/>
      <c r="X77" s="135"/>
      <c r="Y77" s="102"/>
      <c r="Z77" s="105" t="str">
        <f>IF(OR(ISBLANK(Term1_Early_Dismissal_4[[#This Row],[Start]]),ISBLANK(Term1_Early_Dismissal_4[[#This Row],[End]])),"",(Term1_Early_Dismissal_4[[#This Row],[End]]-Term1_Early_Dismissal_4[[#This Row],[Start]])*1440)</f>
        <v/>
      </c>
      <c r="AA77" s="105" t="str">
        <f>IF(ISBLANK(Term1_Early_Dismissal_4[[#This Row],[Activity]]),"",IF(_xlfn.XLOOKUP(Term1_Early_Dismissal_4[[#This Row],[Activity]],Types_of_Activity[Type of Activity],Types_of_Activity[Classification])=1,Term1_Early_Dismissal_4[[#This Row],[Elapsed]],0))</f>
        <v/>
      </c>
      <c r="AB77" s="105" t="str">
        <f>IF(ISBLANK(Term1_Early_Dismissal_4[[#This Row],[Activity]]),"",IF(_xlfn.XLOOKUP(Term1_Early_Dismissal_4[[#This Row],[Activity]],Types_of_Activity[Type of Activity],Types_of_Activity[Classification])=2,Term1_Early_Dismissal_4[[#This Row],[Elapsed]],0))</f>
        <v/>
      </c>
      <c r="AD77" s="135"/>
      <c r="AE77" s="135"/>
      <c r="AF77" s="102"/>
      <c r="AG77" s="105" t="str">
        <f>IF(OR(ISBLANK(Term1_Early_Dismissal_5[[#This Row],[Start]]),ISBLANK(Term1_Early_Dismissal_5[[#This Row],[End]])),"",(Term1_Early_Dismissal_5[[#This Row],[End]]-Term1_Early_Dismissal_5[[#This Row],[Start]])*1440)</f>
        <v/>
      </c>
      <c r="AH77" s="105" t="str">
        <f>IF(ISBLANK(Term1_Early_Dismissal_5[[#This Row],[Activity]]),"",IF(_xlfn.XLOOKUP(Term1_Early_Dismissal_5[[#This Row],[Activity]],Types_of_Activity[Type of Activity],Types_of_Activity[Classification])=1,Term1_Early_Dismissal_5[[#This Row],[Elapsed]],0))</f>
        <v/>
      </c>
      <c r="AI77" s="105" t="str">
        <f>IF(ISBLANK(Term1_Early_Dismissal_5[[#This Row],[Activity]]),"",IF(_xlfn.XLOOKUP(Term1_Early_Dismissal_5[[#This Row],[Activity]],Types_of_Activity[Type of Activity],Types_of_Activity[Classification])=2,Term1_Early_Dismissal_5[[#This Row],[Elapsed]],0))</f>
        <v/>
      </c>
      <c r="AK77" s="135"/>
      <c r="AL77" s="135"/>
      <c r="AM77" s="102"/>
      <c r="AN77" s="105" t="str">
        <f>IF(OR(ISBLANK(Term1_Early_Dismissal_6[[#This Row],[Start]]),ISBLANK(Term1_Early_Dismissal_6[[#This Row],[End]])),"",(Term1_Early_Dismissal_6[[#This Row],[End]]-Term1_Early_Dismissal_6[[#This Row],[Start]])*1440)</f>
        <v/>
      </c>
      <c r="AO77" s="105" t="str">
        <f>IF(ISBLANK(Term1_Early_Dismissal_6[[#This Row],[Activity]]),"",IF(_xlfn.XLOOKUP(Term1_Early_Dismissal_6[[#This Row],[Activity]],Types_of_Activity[Type of Activity],Types_of_Activity[Classification])=1,Term1_Early_Dismissal_6[[#This Row],[Elapsed]],0))</f>
        <v/>
      </c>
      <c r="AP77" s="105" t="str">
        <f>IF(ISBLANK(Term1_Early_Dismissal_6[[#This Row],[Activity]]),"",IF(_xlfn.XLOOKUP(Term1_Early_Dismissal_6[[#This Row],[Activity]],Types_of_Activity[Type of Activity],Types_of_Activity[Classification])=2,Term1_Early_Dismissal_6[[#This Row],[Elapsed]],0))</f>
        <v/>
      </c>
    </row>
    <row r="78" spans="2:42" x14ac:dyDescent="0.3">
      <c r="B78" s="135"/>
      <c r="C78" s="135"/>
      <c r="D78" s="102"/>
      <c r="E78" s="105" t="str">
        <f>IF(OR(ISBLANK(Term1_Early_Dismissal_1[[#This Row],[Start]]),ISBLANK(Term1_Early_Dismissal_1[[#This Row],[End]])),"",(Term1_Early_Dismissal_1[[#This Row],[End]]-Term1_Early_Dismissal_1[[#This Row],[Start]])*1440)</f>
        <v/>
      </c>
      <c r="F78" s="105" t="str">
        <f>IF(ISBLANK(Term1_Early_Dismissal_1[[#This Row],[Activity]]),"",IF(_xlfn.XLOOKUP(Term1_Early_Dismissal_1[[#This Row],[Activity]],Types_of_Activity[Type of Activity],Types_of_Activity[Classification])=1,Term1_Early_Dismissal_1[[#This Row],[Elapsed]],0))</f>
        <v/>
      </c>
      <c r="G78" s="105" t="str">
        <f>IF(ISBLANK(Term1_Early_Dismissal_1[[#This Row],[Activity]]),"",IF(_xlfn.XLOOKUP(Term1_Early_Dismissal_1[[#This Row],[Activity]],Types_of_Activity[Type of Activity],Types_of_Activity[Classification])=2,Term1_Early_Dismissal_1[[#This Row],[Elapsed]],0))</f>
        <v/>
      </c>
      <c r="H78"/>
      <c r="I78" s="135"/>
      <c r="J78" s="135"/>
      <c r="K78" s="102"/>
      <c r="L78" s="105" t="str">
        <f>IF(OR(ISBLANK(Term1_Early_Dismissal_2[[#This Row],[Start]]),ISBLANK(Term1_Early_Dismissal_2[[#This Row],[End]])),"",(Term1_Early_Dismissal_2[[#This Row],[End]]-Term1_Early_Dismissal_2[[#This Row],[Start]])*1440)</f>
        <v/>
      </c>
      <c r="M78" s="105" t="str">
        <f>IF(ISBLANK(Term1_Early_Dismissal_2[[#This Row],[Activity]]),"",IF(_xlfn.XLOOKUP(Term1_Early_Dismissal_2[[#This Row],[Activity]],Types_of_Activity[Type of Activity],Types_of_Activity[Classification])=1,Term1_Early_Dismissal_2[[#This Row],[Elapsed]],0))</f>
        <v/>
      </c>
      <c r="N78" s="105" t="str">
        <f>IF(ISBLANK(Term1_Early_Dismissal_2[[#This Row],[Activity]]),"",IF(_xlfn.XLOOKUP(Term1_Early_Dismissal_2[[#This Row],[Activity]],Types_of_Activity[Type of Activity],Types_of_Activity[Classification])=2,Term1_Early_Dismissal_2[[#This Row],[Elapsed]],0))</f>
        <v/>
      </c>
      <c r="O78"/>
      <c r="P78" s="135"/>
      <c r="Q78" s="135"/>
      <c r="R78" s="102"/>
      <c r="S78" s="105" t="str">
        <f>IF(OR(ISBLANK(Term1_Early_Dismissal_3[[#This Row],[Start]]),ISBLANK(Term1_Early_Dismissal_3[[#This Row],[End]])),"",(Term1_Early_Dismissal_3[[#This Row],[End]]-Term1_Early_Dismissal_3[[#This Row],[Start]])*1440)</f>
        <v/>
      </c>
      <c r="T78" s="105" t="str">
        <f>IF(ISBLANK(Term1_Early_Dismissal_3[[#This Row],[Activity]]),"",IF(_xlfn.XLOOKUP(Term1_Early_Dismissal_3[[#This Row],[Activity]],Types_of_Activity[Type of Activity],Types_of_Activity[Classification])=1,Term1_Early_Dismissal_3[[#This Row],[Elapsed]],0))</f>
        <v/>
      </c>
      <c r="U78" s="105" t="str">
        <f>IF(ISBLANK(Term1_Early_Dismissal_3[[#This Row],[Activity]]),"",IF(_xlfn.XLOOKUP(Term1_Early_Dismissal_3[[#This Row],[Activity]],Types_of_Activity[Type of Activity],Types_of_Activity[Classification])=2,Term1_Early_Dismissal_3[[#This Row],[Elapsed]],0))</f>
        <v/>
      </c>
      <c r="W78" s="135"/>
      <c r="X78" s="135"/>
      <c r="Y78" s="102"/>
      <c r="Z78" s="105" t="str">
        <f>IF(OR(ISBLANK(Term1_Early_Dismissal_4[[#This Row],[Start]]),ISBLANK(Term1_Early_Dismissal_4[[#This Row],[End]])),"",(Term1_Early_Dismissal_4[[#This Row],[End]]-Term1_Early_Dismissal_4[[#This Row],[Start]])*1440)</f>
        <v/>
      </c>
      <c r="AA78" s="105" t="str">
        <f>IF(ISBLANK(Term1_Early_Dismissal_4[[#This Row],[Activity]]),"",IF(_xlfn.XLOOKUP(Term1_Early_Dismissal_4[[#This Row],[Activity]],Types_of_Activity[Type of Activity],Types_of_Activity[Classification])=1,Term1_Early_Dismissal_4[[#This Row],[Elapsed]],0))</f>
        <v/>
      </c>
      <c r="AB78" s="105" t="str">
        <f>IF(ISBLANK(Term1_Early_Dismissal_4[[#This Row],[Activity]]),"",IF(_xlfn.XLOOKUP(Term1_Early_Dismissal_4[[#This Row],[Activity]],Types_of_Activity[Type of Activity],Types_of_Activity[Classification])=2,Term1_Early_Dismissal_4[[#This Row],[Elapsed]],0))</f>
        <v/>
      </c>
      <c r="AD78" s="135"/>
      <c r="AE78" s="135"/>
      <c r="AF78" s="102"/>
      <c r="AG78" s="105" t="str">
        <f>IF(OR(ISBLANK(Term1_Early_Dismissal_5[[#This Row],[Start]]),ISBLANK(Term1_Early_Dismissal_5[[#This Row],[End]])),"",(Term1_Early_Dismissal_5[[#This Row],[End]]-Term1_Early_Dismissal_5[[#This Row],[Start]])*1440)</f>
        <v/>
      </c>
      <c r="AH78" s="105" t="str">
        <f>IF(ISBLANK(Term1_Early_Dismissal_5[[#This Row],[Activity]]),"",IF(_xlfn.XLOOKUP(Term1_Early_Dismissal_5[[#This Row],[Activity]],Types_of_Activity[Type of Activity],Types_of_Activity[Classification])=1,Term1_Early_Dismissal_5[[#This Row],[Elapsed]],0))</f>
        <v/>
      </c>
      <c r="AI78" s="105" t="str">
        <f>IF(ISBLANK(Term1_Early_Dismissal_5[[#This Row],[Activity]]),"",IF(_xlfn.XLOOKUP(Term1_Early_Dismissal_5[[#This Row],[Activity]],Types_of_Activity[Type of Activity],Types_of_Activity[Classification])=2,Term1_Early_Dismissal_5[[#This Row],[Elapsed]],0))</f>
        <v/>
      </c>
      <c r="AK78" s="135"/>
      <c r="AL78" s="135"/>
      <c r="AM78" s="102"/>
      <c r="AN78" s="105" t="str">
        <f>IF(OR(ISBLANK(Term1_Early_Dismissal_6[[#This Row],[Start]]),ISBLANK(Term1_Early_Dismissal_6[[#This Row],[End]])),"",(Term1_Early_Dismissal_6[[#This Row],[End]]-Term1_Early_Dismissal_6[[#This Row],[Start]])*1440)</f>
        <v/>
      </c>
      <c r="AO78" s="105" t="str">
        <f>IF(ISBLANK(Term1_Early_Dismissal_6[[#This Row],[Activity]]),"",IF(_xlfn.XLOOKUP(Term1_Early_Dismissal_6[[#This Row],[Activity]],Types_of_Activity[Type of Activity],Types_of_Activity[Classification])=1,Term1_Early_Dismissal_6[[#This Row],[Elapsed]],0))</f>
        <v/>
      </c>
      <c r="AP78" s="105" t="str">
        <f>IF(ISBLANK(Term1_Early_Dismissal_6[[#This Row],[Activity]]),"",IF(_xlfn.XLOOKUP(Term1_Early_Dismissal_6[[#This Row],[Activity]],Types_of_Activity[Type of Activity],Types_of_Activity[Classification])=2,Term1_Early_Dismissal_6[[#This Row],[Elapsed]],0))</f>
        <v/>
      </c>
    </row>
    <row r="79" spans="2:42" x14ac:dyDescent="0.3">
      <c r="B79" s="135"/>
      <c r="C79" s="135"/>
      <c r="D79" s="102"/>
      <c r="E79" s="105" t="str">
        <f>IF(OR(ISBLANK(Term1_Early_Dismissal_1[[#This Row],[Start]]),ISBLANK(Term1_Early_Dismissal_1[[#This Row],[End]])),"",(Term1_Early_Dismissal_1[[#This Row],[End]]-Term1_Early_Dismissal_1[[#This Row],[Start]])*1440)</f>
        <v/>
      </c>
      <c r="F79" s="105" t="str">
        <f>IF(ISBLANK(Term1_Early_Dismissal_1[[#This Row],[Activity]]),"",IF(_xlfn.XLOOKUP(Term1_Early_Dismissal_1[[#This Row],[Activity]],Types_of_Activity[Type of Activity],Types_of_Activity[Classification])=1,Term1_Early_Dismissal_1[[#This Row],[Elapsed]],0))</f>
        <v/>
      </c>
      <c r="G79" s="105" t="str">
        <f>IF(ISBLANK(Term1_Early_Dismissal_1[[#This Row],[Activity]]),"",IF(_xlfn.XLOOKUP(Term1_Early_Dismissal_1[[#This Row],[Activity]],Types_of_Activity[Type of Activity],Types_of_Activity[Classification])=2,Term1_Early_Dismissal_1[[#This Row],[Elapsed]],0))</f>
        <v/>
      </c>
      <c r="H79"/>
      <c r="I79" s="135"/>
      <c r="J79" s="135"/>
      <c r="K79" s="102"/>
      <c r="L79" s="105" t="str">
        <f>IF(OR(ISBLANK(Term1_Early_Dismissal_2[[#This Row],[Start]]),ISBLANK(Term1_Early_Dismissal_2[[#This Row],[End]])),"",(Term1_Early_Dismissal_2[[#This Row],[End]]-Term1_Early_Dismissal_2[[#This Row],[Start]])*1440)</f>
        <v/>
      </c>
      <c r="M79" s="105" t="str">
        <f>IF(ISBLANK(Term1_Early_Dismissal_2[[#This Row],[Activity]]),"",IF(_xlfn.XLOOKUP(Term1_Early_Dismissal_2[[#This Row],[Activity]],Types_of_Activity[Type of Activity],Types_of_Activity[Classification])=1,Term1_Early_Dismissal_2[[#This Row],[Elapsed]],0))</f>
        <v/>
      </c>
      <c r="N79" s="105" t="str">
        <f>IF(ISBLANK(Term1_Early_Dismissal_2[[#This Row],[Activity]]),"",IF(_xlfn.XLOOKUP(Term1_Early_Dismissal_2[[#This Row],[Activity]],Types_of_Activity[Type of Activity],Types_of_Activity[Classification])=2,Term1_Early_Dismissal_2[[#This Row],[Elapsed]],0))</f>
        <v/>
      </c>
      <c r="O79"/>
      <c r="P79" s="135"/>
      <c r="Q79" s="135"/>
      <c r="R79" s="102"/>
      <c r="S79" s="105" t="str">
        <f>IF(OR(ISBLANK(Term1_Early_Dismissal_3[[#This Row],[Start]]),ISBLANK(Term1_Early_Dismissal_3[[#This Row],[End]])),"",(Term1_Early_Dismissal_3[[#This Row],[End]]-Term1_Early_Dismissal_3[[#This Row],[Start]])*1440)</f>
        <v/>
      </c>
      <c r="T79" s="105" t="str">
        <f>IF(ISBLANK(Term1_Early_Dismissal_3[[#This Row],[Activity]]),"",IF(_xlfn.XLOOKUP(Term1_Early_Dismissal_3[[#This Row],[Activity]],Types_of_Activity[Type of Activity],Types_of_Activity[Classification])=1,Term1_Early_Dismissal_3[[#This Row],[Elapsed]],0))</f>
        <v/>
      </c>
      <c r="U79" s="105" t="str">
        <f>IF(ISBLANK(Term1_Early_Dismissal_3[[#This Row],[Activity]]),"",IF(_xlfn.XLOOKUP(Term1_Early_Dismissal_3[[#This Row],[Activity]],Types_of_Activity[Type of Activity],Types_of_Activity[Classification])=2,Term1_Early_Dismissal_3[[#This Row],[Elapsed]],0))</f>
        <v/>
      </c>
      <c r="W79" s="135"/>
      <c r="X79" s="135"/>
      <c r="Y79" s="102"/>
      <c r="Z79" s="105" t="str">
        <f>IF(OR(ISBLANK(Term1_Early_Dismissal_4[[#This Row],[Start]]),ISBLANK(Term1_Early_Dismissal_4[[#This Row],[End]])),"",(Term1_Early_Dismissal_4[[#This Row],[End]]-Term1_Early_Dismissal_4[[#This Row],[Start]])*1440)</f>
        <v/>
      </c>
      <c r="AA79" s="105" t="str">
        <f>IF(ISBLANK(Term1_Early_Dismissal_4[[#This Row],[Activity]]),"",IF(_xlfn.XLOOKUP(Term1_Early_Dismissal_4[[#This Row],[Activity]],Types_of_Activity[Type of Activity],Types_of_Activity[Classification])=1,Term1_Early_Dismissal_4[[#This Row],[Elapsed]],0))</f>
        <v/>
      </c>
      <c r="AB79" s="105" t="str">
        <f>IF(ISBLANK(Term1_Early_Dismissal_4[[#This Row],[Activity]]),"",IF(_xlfn.XLOOKUP(Term1_Early_Dismissal_4[[#This Row],[Activity]],Types_of_Activity[Type of Activity],Types_of_Activity[Classification])=2,Term1_Early_Dismissal_4[[#This Row],[Elapsed]],0))</f>
        <v/>
      </c>
      <c r="AD79" s="135"/>
      <c r="AE79" s="135"/>
      <c r="AF79" s="102"/>
      <c r="AG79" s="105" t="str">
        <f>IF(OR(ISBLANK(Term1_Early_Dismissal_5[[#This Row],[Start]]),ISBLANK(Term1_Early_Dismissal_5[[#This Row],[End]])),"",(Term1_Early_Dismissal_5[[#This Row],[End]]-Term1_Early_Dismissal_5[[#This Row],[Start]])*1440)</f>
        <v/>
      </c>
      <c r="AH79" s="105" t="str">
        <f>IF(ISBLANK(Term1_Early_Dismissal_5[[#This Row],[Activity]]),"",IF(_xlfn.XLOOKUP(Term1_Early_Dismissal_5[[#This Row],[Activity]],Types_of_Activity[Type of Activity],Types_of_Activity[Classification])=1,Term1_Early_Dismissal_5[[#This Row],[Elapsed]],0))</f>
        <v/>
      </c>
      <c r="AI79" s="105" t="str">
        <f>IF(ISBLANK(Term1_Early_Dismissal_5[[#This Row],[Activity]]),"",IF(_xlfn.XLOOKUP(Term1_Early_Dismissal_5[[#This Row],[Activity]],Types_of_Activity[Type of Activity],Types_of_Activity[Classification])=2,Term1_Early_Dismissal_5[[#This Row],[Elapsed]],0))</f>
        <v/>
      </c>
      <c r="AK79" s="135"/>
      <c r="AL79" s="135"/>
      <c r="AM79" s="102"/>
      <c r="AN79" s="105" t="str">
        <f>IF(OR(ISBLANK(Term1_Early_Dismissal_6[[#This Row],[Start]]),ISBLANK(Term1_Early_Dismissal_6[[#This Row],[End]])),"",(Term1_Early_Dismissal_6[[#This Row],[End]]-Term1_Early_Dismissal_6[[#This Row],[Start]])*1440)</f>
        <v/>
      </c>
      <c r="AO79" s="105" t="str">
        <f>IF(ISBLANK(Term1_Early_Dismissal_6[[#This Row],[Activity]]),"",IF(_xlfn.XLOOKUP(Term1_Early_Dismissal_6[[#This Row],[Activity]],Types_of_Activity[Type of Activity],Types_of_Activity[Classification])=1,Term1_Early_Dismissal_6[[#This Row],[Elapsed]],0))</f>
        <v/>
      </c>
      <c r="AP79" s="105" t="str">
        <f>IF(ISBLANK(Term1_Early_Dismissal_6[[#This Row],[Activity]]),"",IF(_xlfn.XLOOKUP(Term1_Early_Dismissal_6[[#This Row],[Activity]],Types_of_Activity[Type of Activity],Types_of_Activity[Classification])=2,Term1_Early_Dismissal_6[[#This Row],[Elapsed]],0))</f>
        <v/>
      </c>
    </row>
    <row r="80" spans="2:42" x14ac:dyDescent="0.3">
      <c r="B80" s="135"/>
      <c r="C80" s="135"/>
      <c r="D80" s="102"/>
      <c r="E80" s="105" t="str">
        <f>IF(OR(ISBLANK(Term1_Early_Dismissal_1[[#This Row],[Start]]),ISBLANK(Term1_Early_Dismissal_1[[#This Row],[End]])),"",(Term1_Early_Dismissal_1[[#This Row],[End]]-Term1_Early_Dismissal_1[[#This Row],[Start]])*1440)</f>
        <v/>
      </c>
      <c r="F80" s="105" t="str">
        <f>IF(ISBLANK(Term1_Early_Dismissal_1[[#This Row],[Activity]]),"",IF(_xlfn.XLOOKUP(Term1_Early_Dismissal_1[[#This Row],[Activity]],Types_of_Activity[Type of Activity],Types_of_Activity[Classification])=1,Term1_Early_Dismissal_1[[#This Row],[Elapsed]],0))</f>
        <v/>
      </c>
      <c r="G80" s="105" t="str">
        <f>IF(ISBLANK(Term1_Early_Dismissal_1[[#This Row],[Activity]]),"",IF(_xlfn.XLOOKUP(Term1_Early_Dismissal_1[[#This Row],[Activity]],Types_of_Activity[Type of Activity],Types_of_Activity[Classification])=2,Term1_Early_Dismissal_1[[#This Row],[Elapsed]],0))</f>
        <v/>
      </c>
      <c r="H80"/>
      <c r="I80" s="135"/>
      <c r="J80" s="135"/>
      <c r="K80" s="102"/>
      <c r="L80" s="105" t="str">
        <f>IF(OR(ISBLANK(Term1_Early_Dismissal_2[[#This Row],[Start]]),ISBLANK(Term1_Early_Dismissal_2[[#This Row],[End]])),"",(Term1_Early_Dismissal_2[[#This Row],[End]]-Term1_Early_Dismissal_2[[#This Row],[Start]])*1440)</f>
        <v/>
      </c>
      <c r="M80" s="105" t="str">
        <f>IF(ISBLANK(Term1_Early_Dismissal_2[[#This Row],[Activity]]),"",IF(_xlfn.XLOOKUP(Term1_Early_Dismissal_2[[#This Row],[Activity]],Types_of_Activity[Type of Activity],Types_of_Activity[Classification])=1,Term1_Early_Dismissal_2[[#This Row],[Elapsed]],0))</f>
        <v/>
      </c>
      <c r="N80" s="105" t="str">
        <f>IF(ISBLANK(Term1_Early_Dismissal_2[[#This Row],[Activity]]),"",IF(_xlfn.XLOOKUP(Term1_Early_Dismissal_2[[#This Row],[Activity]],Types_of_Activity[Type of Activity],Types_of_Activity[Classification])=2,Term1_Early_Dismissal_2[[#This Row],[Elapsed]],0))</f>
        <v/>
      </c>
      <c r="O80"/>
      <c r="P80" s="135"/>
      <c r="Q80" s="135"/>
      <c r="R80" s="102"/>
      <c r="S80" s="105" t="str">
        <f>IF(OR(ISBLANK(Term1_Early_Dismissal_3[[#This Row],[Start]]),ISBLANK(Term1_Early_Dismissal_3[[#This Row],[End]])),"",(Term1_Early_Dismissal_3[[#This Row],[End]]-Term1_Early_Dismissal_3[[#This Row],[Start]])*1440)</f>
        <v/>
      </c>
      <c r="T80" s="105" t="str">
        <f>IF(ISBLANK(Term1_Early_Dismissal_3[[#This Row],[Activity]]),"",IF(_xlfn.XLOOKUP(Term1_Early_Dismissal_3[[#This Row],[Activity]],Types_of_Activity[Type of Activity],Types_of_Activity[Classification])=1,Term1_Early_Dismissal_3[[#This Row],[Elapsed]],0))</f>
        <v/>
      </c>
      <c r="U80" s="105" t="str">
        <f>IF(ISBLANK(Term1_Early_Dismissal_3[[#This Row],[Activity]]),"",IF(_xlfn.XLOOKUP(Term1_Early_Dismissal_3[[#This Row],[Activity]],Types_of_Activity[Type of Activity],Types_of_Activity[Classification])=2,Term1_Early_Dismissal_3[[#This Row],[Elapsed]],0))</f>
        <v/>
      </c>
      <c r="W80" s="135"/>
      <c r="X80" s="135"/>
      <c r="Y80" s="102"/>
      <c r="Z80" s="105" t="str">
        <f>IF(OR(ISBLANK(Term1_Early_Dismissal_4[[#This Row],[Start]]),ISBLANK(Term1_Early_Dismissal_4[[#This Row],[End]])),"",(Term1_Early_Dismissal_4[[#This Row],[End]]-Term1_Early_Dismissal_4[[#This Row],[Start]])*1440)</f>
        <v/>
      </c>
      <c r="AA80" s="105" t="str">
        <f>IF(ISBLANK(Term1_Early_Dismissal_4[[#This Row],[Activity]]),"",IF(_xlfn.XLOOKUP(Term1_Early_Dismissal_4[[#This Row],[Activity]],Types_of_Activity[Type of Activity],Types_of_Activity[Classification])=1,Term1_Early_Dismissal_4[[#This Row],[Elapsed]],0))</f>
        <v/>
      </c>
      <c r="AB80" s="105" t="str">
        <f>IF(ISBLANK(Term1_Early_Dismissal_4[[#This Row],[Activity]]),"",IF(_xlfn.XLOOKUP(Term1_Early_Dismissal_4[[#This Row],[Activity]],Types_of_Activity[Type of Activity],Types_of_Activity[Classification])=2,Term1_Early_Dismissal_4[[#This Row],[Elapsed]],0))</f>
        <v/>
      </c>
      <c r="AD80" s="135"/>
      <c r="AE80" s="135"/>
      <c r="AF80" s="102"/>
      <c r="AG80" s="105" t="str">
        <f>IF(OR(ISBLANK(Term1_Early_Dismissal_5[[#This Row],[Start]]),ISBLANK(Term1_Early_Dismissal_5[[#This Row],[End]])),"",(Term1_Early_Dismissal_5[[#This Row],[End]]-Term1_Early_Dismissal_5[[#This Row],[Start]])*1440)</f>
        <v/>
      </c>
      <c r="AH80" s="105" t="str">
        <f>IF(ISBLANK(Term1_Early_Dismissal_5[[#This Row],[Activity]]),"",IF(_xlfn.XLOOKUP(Term1_Early_Dismissal_5[[#This Row],[Activity]],Types_of_Activity[Type of Activity],Types_of_Activity[Classification])=1,Term1_Early_Dismissal_5[[#This Row],[Elapsed]],0))</f>
        <v/>
      </c>
      <c r="AI80" s="105" t="str">
        <f>IF(ISBLANK(Term1_Early_Dismissal_5[[#This Row],[Activity]]),"",IF(_xlfn.XLOOKUP(Term1_Early_Dismissal_5[[#This Row],[Activity]],Types_of_Activity[Type of Activity],Types_of_Activity[Classification])=2,Term1_Early_Dismissal_5[[#This Row],[Elapsed]],0))</f>
        <v/>
      </c>
      <c r="AK80" s="135"/>
      <c r="AL80" s="135"/>
      <c r="AM80" s="102"/>
      <c r="AN80" s="105" t="str">
        <f>IF(OR(ISBLANK(Term1_Early_Dismissal_6[[#This Row],[Start]]),ISBLANK(Term1_Early_Dismissal_6[[#This Row],[End]])),"",(Term1_Early_Dismissal_6[[#This Row],[End]]-Term1_Early_Dismissal_6[[#This Row],[Start]])*1440)</f>
        <v/>
      </c>
      <c r="AO80" s="105" t="str">
        <f>IF(ISBLANK(Term1_Early_Dismissal_6[[#This Row],[Activity]]),"",IF(_xlfn.XLOOKUP(Term1_Early_Dismissal_6[[#This Row],[Activity]],Types_of_Activity[Type of Activity],Types_of_Activity[Classification])=1,Term1_Early_Dismissal_6[[#This Row],[Elapsed]],0))</f>
        <v/>
      </c>
      <c r="AP80" s="105" t="str">
        <f>IF(ISBLANK(Term1_Early_Dismissal_6[[#This Row],[Activity]]),"",IF(_xlfn.XLOOKUP(Term1_Early_Dismissal_6[[#This Row],[Activity]],Types_of_Activity[Type of Activity],Types_of_Activity[Classification])=2,Term1_Early_Dismissal_6[[#This Row],[Elapsed]],0))</f>
        <v/>
      </c>
    </row>
    <row r="81" spans="2:42" x14ac:dyDescent="0.3">
      <c r="B81" s="135"/>
      <c r="C81" s="135"/>
      <c r="D81" s="102"/>
      <c r="E81" s="105" t="str">
        <f>IF(OR(ISBLANK(Term1_Early_Dismissal_1[[#This Row],[Start]]),ISBLANK(Term1_Early_Dismissal_1[[#This Row],[End]])),"",(Term1_Early_Dismissal_1[[#This Row],[End]]-Term1_Early_Dismissal_1[[#This Row],[Start]])*1440)</f>
        <v/>
      </c>
      <c r="F81" s="105" t="str">
        <f>IF(ISBLANK(Term1_Early_Dismissal_1[[#This Row],[Activity]]),"",IF(_xlfn.XLOOKUP(Term1_Early_Dismissal_1[[#This Row],[Activity]],Types_of_Activity[Type of Activity],Types_of_Activity[Classification])=1,Term1_Early_Dismissal_1[[#This Row],[Elapsed]],0))</f>
        <v/>
      </c>
      <c r="G81" s="105" t="str">
        <f>IF(ISBLANK(Term1_Early_Dismissal_1[[#This Row],[Activity]]),"",IF(_xlfn.XLOOKUP(Term1_Early_Dismissal_1[[#This Row],[Activity]],Types_of_Activity[Type of Activity],Types_of_Activity[Classification])=2,Term1_Early_Dismissal_1[[#This Row],[Elapsed]],0))</f>
        <v/>
      </c>
      <c r="H81"/>
      <c r="I81" s="135"/>
      <c r="J81" s="135"/>
      <c r="K81" s="102"/>
      <c r="L81" s="105" t="str">
        <f>IF(OR(ISBLANK(Term1_Early_Dismissal_2[[#This Row],[Start]]),ISBLANK(Term1_Early_Dismissal_2[[#This Row],[End]])),"",(Term1_Early_Dismissal_2[[#This Row],[End]]-Term1_Early_Dismissal_2[[#This Row],[Start]])*1440)</f>
        <v/>
      </c>
      <c r="M81" s="105" t="str">
        <f>IF(ISBLANK(Term1_Early_Dismissal_2[[#This Row],[Activity]]),"",IF(_xlfn.XLOOKUP(Term1_Early_Dismissal_2[[#This Row],[Activity]],Types_of_Activity[Type of Activity],Types_of_Activity[Classification])=1,Term1_Early_Dismissal_2[[#This Row],[Elapsed]],0))</f>
        <v/>
      </c>
      <c r="N81" s="105" t="str">
        <f>IF(ISBLANK(Term1_Early_Dismissal_2[[#This Row],[Activity]]),"",IF(_xlfn.XLOOKUP(Term1_Early_Dismissal_2[[#This Row],[Activity]],Types_of_Activity[Type of Activity],Types_of_Activity[Classification])=2,Term1_Early_Dismissal_2[[#This Row],[Elapsed]],0))</f>
        <v/>
      </c>
      <c r="O81"/>
      <c r="P81" s="135"/>
      <c r="Q81" s="135"/>
      <c r="R81" s="102"/>
      <c r="S81" s="105" t="str">
        <f>IF(OR(ISBLANK(Term1_Early_Dismissal_3[[#This Row],[Start]]),ISBLANK(Term1_Early_Dismissal_3[[#This Row],[End]])),"",(Term1_Early_Dismissal_3[[#This Row],[End]]-Term1_Early_Dismissal_3[[#This Row],[Start]])*1440)</f>
        <v/>
      </c>
      <c r="T81" s="105" t="str">
        <f>IF(ISBLANK(Term1_Early_Dismissal_3[[#This Row],[Activity]]),"",IF(_xlfn.XLOOKUP(Term1_Early_Dismissal_3[[#This Row],[Activity]],Types_of_Activity[Type of Activity],Types_of_Activity[Classification])=1,Term1_Early_Dismissal_3[[#This Row],[Elapsed]],0))</f>
        <v/>
      </c>
      <c r="U81" s="105" t="str">
        <f>IF(ISBLANK(Term1_Early_Dismissal_3[[#This Row],[Activity]]),"",IF(_xlfn.XLOOKUP(Term1_Early_Dismissal_3[[#This Row],[Activity]],Types_of_Activity[Type of Activity],Types_of_Activity[Classification])=2,Term1_Early_Dismissal_3[[#This Row],[Elapsed]],0))</f>
        <v/>
      </c>
      <c r="W81" s="135"/>
      <c r="X81" s="135"/>
      <c r="Y81" s="102"/>
      <c r="Z81" s="105" t="str">
        <f>IF(OR(ISBLANK(Term1_Early_Dismissal_4[[#This Row],[Start]]),ISBLANK(Term1_Early_Dismissal_4[[#This Row],[End]])),"",(Term1_Early_Dismissal_4[[#This Row],[End]]-Term1_Early_Dismissal_4[[#This Row],[Start]])*1440)</f>
        <v/>
      </c>
      <c r="AA81" s="105" t="str">
        <f>IF(ISBLANK(Term1_Early_Dismissal_4[[#This Row],[Activity]]),"",IF(_xlfn.XLOOKUP(Term1_Early_Dismissal_4[[#This Row],[Activity]],Types_of_Activity[Type of Activity],Types_of_Activity[Classification])=1,Term1_Early_Dismissal_4[[#This Row],[Elapsed]],0))</f>
        <v/>
      </c>
      <c r="AB81" s="105" t="str">
        <f>IF(ISBLANK(Term1_Early_Dismissal_4[[#This Row],[Activity]]),"",IF(_xlfn.XLOOKUP(Term1_Early_Dismissal_4[[#This Row],[Activity]],Types_of_Activity[Type of Activity],Types_of_Activity[Classification])=2,Term1_Early_Dismissal_4[[#This Row],[Elapsed]],0))</f>
        <v/>
      </c>
      <c r="AD81" s="135"/>
      <c r="AE81" s="135"/>
      <c r="AF81" s="102"/>
      <c r="AG81" s="105" t="str">
        <f>IF(OR(ISBLANK(Term1_Early_Dismissal_5[[#This Row],[Start]]),ISBLANK(Term1_Early_Dismissal_5[[#This Row],[End]])),"",(Term1_Early_Dismissal_5[[#This Row],[End]]-Term1_Early_Dismissal_5[[#This Row],[Start]])*1440)</f>
        <v/>
      </c>
      <c r="AH81" s="105" t="str">
        <f>IF(ISBLANK(Term1_Early_Dismissal_5[[#This Row],[Activity]]),"",IF(_xlfn.XLOOKUP(Term1_Early_Dismissal_5[[#This Row],[Activity]],Types_of_Activity[Type of Activity],Types_of_Activity[Classification])=1,Term1_Early_Dismissal_5[[#This Row],[Elapsed]],0))</f>
        <v/>
      </c>
      <c r="AI81" s="105" t="str">
        <f>IF(ISBLANK(Term1_Early_Dismissal_5[[#This Row],[Activity]]),"",IF(_xlfn.XLOOKUP(Term1_Early_Dismissal_5[[#This Row],[Activity]],Types_of_Activity[Type of Activity],Types_of_Activity[Classification])=2,Term1_Early_Dismissal_5[[#This Row],[Elapsed]],0))</f>
        <v/>
      </c>
      <c r="AK81" s="135"/>
      <c r="AL81" s="135"/>
      <c r="AM81" s="102"/>
      <c r="AN81" s="105" t="str">
        <f>IF(OR(ISBLANK(Term1_Early_Dismissal_6[[#This Row],[Start]]),ISBLANK(Term1_Early_Dismissal_6[[#This Row],[End]])),"",(Term1_Early_Dismissal_6[[#This Row],[End]]-Term1_Early_Dismissal_6[[#This Row],[Start]])*1440)</f>
        <v/>
      </c>
      <c r="AO81" s="105" t="str">
        <f>IF(ISBLANK(Term1_Early_Dismissal_6[[#This Row],[Activity]]),"",IF(_xlfn.XLOOKUP(Term1_Early_Dismissal_6[[#This Row],[Activity]],Types_of_Activity[Type of Activity],Types_of_Activity[Classification])=1,Term1_Early_Dismissal_6[[#This Row],[Elapsed]],0))</f>
        <v/>
      </c>
      <c r="AP81" s="105" t="str">
        <f>IF(ISBLANK(Term1_Early_Dismissal_6[[#This Row],[Activity]]),"",IF(_xlfn.XLOOKUP(Term1_Early_Dismissal_6[[#This Row],[Activity]],Types_of_Activity[Type of Activity],Types_of_Activity[Classification])=2,Term1_Early_Dismissal_6[[#This Row],[Elapsed]],0))</f>
        <v/>
      </c>
    </row>
    <row r="82" spans="2:42" x14ac:dyDescent="0.3">
      <c r="B82" s="135"/>
      <c r="C82" s="135"/>
      <c r="D82" s="102"/>
      <c r="E82" s="105" t="str">
        <f>IF(OR(ISBLANK(Term1_Early_Dismissal_1[[#This Row],[Start]]),ISBLANK(Term1_Early_Dismissal_1[[#This Row],[End]])),"",(Term1_Early_Dismissal_1[[#This Row],[End]]-Term1_Early_Dismissal_1[[#This Row],[Start]])*1440)</f>
        <v/>
      </c>
      <c r="F82" s="105" t="str">
        <f>IF(ISBLANK(Term1_Early_Dismissal_1[[#This Row],[Activity]]),"",IF(_xlfn.XLOOKUP(Term1_Early_Dismissal_1[[#This Row],[Activity]],Types_of_Activity[Type of Activity],Types_of_Activity[Classification])=1,Term1_Early_Dismissal_1[[#This Row],[Elapsed]],0))</f>
        <v/>
      </c>
      <c r="G82" s="105" t="str">
        <f>IF(ISBLANK(Term1_Early_Dismissal_1[[#This Row],[Activity]]),"",IF(_xlfn.XLOOKUP(Term1_Early_Dismissal_1[[#This Row],[Activity]],Types_of_Activity[Type of Activity],Types_of_Activity[Classification])=2,Term1_Early_Dismissal_1[[#This Row],[Elapsed]],0))</f>
        <v/>
      </c>
      <c r="H82"/>
      <c r="I82" s="135"/>
      <c r="J82" s="135"/>
      <c r="K82" s="102"/>
      <c r="L82" s="105" t="str">
        <f>IF(OR(ISBLANK(Term1_Early_Dismissal_2[[#This Row],[Start]]),ISBLANK(Term1_Early_Dismissal_2[[#This Row],[End]])),"",(Term1_Early_Dismissal_2[[#This Row],[End]]-Term1_Early_Dismissal_2[[#This Row],[Start]])*1440)</f>
        <v/>
      </c>
      <c r="M82" s="105" t="str">
        <f>IF(ISBLANK(Term1_Early_Dismissal_2[[#This Row],[Activity]]),"",IF(_xlfn.XLOOKUP(Term1_Early_Dismissal_2[[#This Row],[Activity]],Types_of_Activity[Type of Activity],Types_of_Activity[Classification])=1,Term1_Early_Dismissal_2[[#This Row],[Elapsed]],0))</f>
        <v/>
      </c>
      <c r="N82" s="105" t="str">
        <f>IF(ISBLANK(Term1_Early_Dismissal_2[[#This Row],[Activity]]),"",IF(_xlfn.XLOOKUP(Term1_Early_Dismissal_2[[#This Row],[Activity]],Types_of_Activity[Type of Activity],Types_of_Activity[Classification])=2,Term1_Early_Dismissal_2[[#This Row],[Elapsed]],0))</f>
        <v/>
      </c>
      <c r="O82"/>
      <c r="P82" s="135"/>
      <c r="Q82" s="135"/>
      <c r="R82" s="102"/>
      <c r="S82" s="105" t="str">
        <f>IF(OR(ISBLANK(Term1_Early_Dismissal_3[[#This Row],[Start]]),ISBLANK(Term1_Early_Dismissal_3[[#This Row],[End]])),"",(Term1_Early_Dismissal_3[[#This Row],[End]]-Term1_Early_Dismissal_3[[#This Row],[Start]])*1440)</f>
        <v/>
      </c>
      <c r="T82" s="105" t="str">
        <f>IF(ISBLANK(Term1_Early_Dismissal_3[[#This Row],[Activity]]),"",IF(_xlfn.XLOOKUP(Term1_Early_Dismissal_3[[#This Row],[Activity]],Types_of_Activity[Type of Activity],Types_of_Activity[Classification])=1,Term1_Early_Dismissal_3[[#This Row],[Elapsed]],0))</f>
        <v/>
      </c>
      <c r="U82" s="105" t="str">
        <f>IF(ISBLANK(Term1_Early_Dismissal_3[[#This Row],[Activity]]),"",IF(_xlfn.XLOOKUP(Term1_Early_Dismissal_3[[#This Row],[Activity]],Types_of_Activity[Type of Activity],Types_of_Activity[Classification])=2,Term1_Early_Dismissal_3[[#This Row],[Elapsed]],0))</f>
        <v/>
      </c>
      <c r="W82" s="135"/>
      <c r="X82" s="135"/>
      <c r="Y82" s="102"/>
      <c r="Z82" s="105" t="str">
        <f>IF(OR(ISBLANK(Term1_Early_Dismissal_4[[#This Row],[Start]]),ISBLANK(Term1_Early_Dismissal_4[[#This Row],[End]])),"",(Term1_Early_Dismissal_4[[#This Row],[End]]-Term1_Early_Dismissal_4[[#This Row],[Start]])*1440)</f>
        <v/>
      </c>
      <c r="AA82" s="105" t="str">
        <f>IF(ISBLANK(Term1_Early_Dismissal_4[[#This Row],[Activity]]),"",IF(_xlfn.XLOOKUP(Term1_Early_Dismissal_4[[#This Row],[Activity]],Types_of_Activity[Type of Activity],Types_of_Activity[Classification])=1,Term1_Early_Dismissal_4[[#This Row],[Elapsed]],0))</f>
        <v/>
      </c>
      <c r="AB82" s="105" t="str">
        <f>IF(ISBLANK(Term1_Early_Dismissal_4[[#This Row],[Activity]]),"",IF(_xlfn.XLOOKUP(Term1_Early_Dismissal_4[[#This Row],[Activity]],Types_of_Activity[Type of Activity],Types_of_Activity[Classification])=2,Term1_Early_Dismissal_4[[#This Row],[Elapsed]],0))</f>
        <v/>
      </c>
      <c r="AD82" s="135"/>
      <c r="AE82" s="135"/>
      <c r="AF82" s="102"/>
      <c r="AG82" s="105" t="str">
        <f>IF(OR(ISBLANK(Term1_Early_Dismissal_5[[#This Row],[Start]]),ISBLANK(Term1_Early_Dismissal_5[[#This Row],[End]])),"",(Term1_Early_Dismissal_5[[#This Row],[End]]-Term1_Early_Dismissal_5[[#This Row],[Start]])*1440)</f>
        <v/>
      </c>
      <c r="AH82" s="105" t="str">
        <f>IF(ISBLANK(Term1_Early_Dismissal_5[[#This Row],[Activity]]),"",IF(_xlfn.XLOOKUP(Term1_Early_Dismissal_5[[#This Row],[Activity]],Types_of_Activity[Type of Activity],Types_of_Activity[Classification])=1,Term1_Early_Dismissal_5[[#This Row],[Elapsed]],0))</f>
        <v/>
      </c>
      <c r="AI82" s="105" t="str">
        <f>IF(ISBLANK(Term1_Early_Dismissal_5[[#This Row],[Activity]]),"",IF(_xlfn.XLOOKUP(Term1_Early_Dismissal_5[[#This Row],[Activity]],Types_of_Activity[Type of Activity],Types_of_Activity[Classification])=2,Term1_Early_Dismissal_5[[#This Row],[Elapsed]],0))</f>
        <v/>
      </c>
      <c r="AK82" s="135"/>
      <c r="AL82" s="135"/>
      <c r="AM82" s="102"/>
      <c r="AN82" s="105" t="str">
        <f>IF(OR(ISBLANK(Term1_Early_Dismissal_6[[#This Row],[Start]]),ISBLANK(Term1_Early_Dismissal_6[[#This Row],[End]])),"",(Term1_Early_Dismissal_6[[#This Row],[End]]-Term1_Early_Dismissal_6[[#This Row],[Start]])*1440)</f>
        <v/>
      </c>
      <c r="AO82" s="105" t="str">
        <f>IF(ISBLANK(Term1_Early_Dismissal_6[[#This Row],[Activity]]),"",IF(_xlfn.XLOOKUP(Term1_Early_Dismissal_6[[#This Row],[Activity]],Types_of_Activity[Type of Activity],Types_of_Activity[Classification])=1,Term1_Early_Dismissal_6[[#This Row],[Elapsed]],0))</f>
        <v/>
      </c>
      <c r="AP82" s="105" t="str">
        <f>IF(ISBLANK(Term1_Early_Dismissal_6[[#This Row],[Activity]]),"",IF(_xlfn.XLOOKUP(Term1_Early_Dismissal_6[[#This Row],[Activity]],Types_of_Activity[Type of Activity],Types_of_Activity[Classification])=2,Term1_Early_Dismissal_6[[#This Row],[Elapsed]],0))</f>
        <v/>
      </c>
    </row>
    <row r="83" spans="2:42" x14ac:dyDescent="0.3">
      <c r="B83" s="135"/>
      <c r="C83" s="135"/>
      <c r="D83" s="102"/>
      <c r="E83" s="105" t="str">
        <f>IF(OR(ISBLANK(Term1_Early_Dismissal_1[[#This Row],[Start]]),ISBLANK(Term1_Early_Dismissal_1[[#This Row],[End]])),"",(Term1_Early_Dismissal_1[[#This Row],[End]]-Term1_Early_Dismissal_1[[#This Row],[Start]])*1440)</f>
        <v/>
      </c>
      <c r="F83" s="105" t="str">
        <f>IF(ISBLANK(Term1_Early_Dismissal_1[[#This Row],[Activity]]),"",IF(_xlfn.XLOOKUP(Term1_Early_Dismissal_1[[#This Row],[Activity]],Types_of_Activity[Type of Activity],Types_of_Activity[Classification])=1,Term1_Early_Dismissal_1[[#This Row],[Elapsed]],0))</f>
        <v/>
      </c>
      <c r="G83" s="105" t="str">
        <f>IF(ISBLANK(Term1_Early_Dismissal_1[[#This Row],[Activity]]),"",IF(_xlfn.XLOOKUP(Term1_Early_Dismissal_1[[#This Row],[Activity]],Types_of_Activity[Type of Activity],Types_of_Activity[Classification])=2,Term1_Early_Dismissal_1[[#This Row],[Elapsed]],0))</f>
        <v/>
      </c>
      <c r="H83"/>
      <c r="I83" s="135"/>
      <c r="J83" s="135"/>
      <c r="K83" s="102"/>
      <c r="L83" s="105" t="str">
        <f>IF(OR(ISBLANK(Term1_Early_Dismissal_2[[#This Row],[Start]]),ISBLANK(Term1_Early_Dismissal_2[[#This Row],[End]])),"",(Term1_Early_Dismissal_2[[#This Row],[End]]-Term1_Early_Dismissal_2[[#This Row],[Start]])*1440)</f>
        <v/>
      </c>
      <c r="M83" s="105" t="str">
        <f>IF(ISBLANK(Term1_Early_Dismissal_2[[#This Row],[Activity]]),"",IF(_xlfn.XLOOKUP(Term1_Early_Dismissal_2[[#This Row],[Activity]],Types_of_Activity[Type of Activity],Types_of_Activity[Classification])=1,Term1_Early_Dismissal_2[[#This Row],[Elapsed]],0))</f>
        <v/>
      </c>
      <c r="N83" s="105" t="str">
        <f>IF(ISBLANK(Term1_Early_Dismissal_2[[#This Row],[Activity]]),"",IF(_xlfn.XLOOKUP(Term1_Early_Dismissal_2[[#This Row],[Activity]],Types_of_Activity[Type of Activity],Types_of_Activity[Classification])=2,Term1_Early_Dismissal_2[[#This Row],[Elapsed]],0))</f>
        <v/>
      </c>
      <c r="O83"/>
      <c r="P83" s="135"/>
      <c r="Q83" s="135"/>
      <c r="R83" s="102"/>
      <c r="S83" s="105" t="str">
        <f>IF(OR(ISBLANK(Term1_Early_Dismissal_3[[#This Row],[Start]]),ISBLANK(Term1_Early_Dismissal_3[[#This Row],[End]])),"",(Term1_Early_Dismissal_3[[#This Row],[End]]-Term1_Early_Dismissal_3[[#This Row],[Start]])*1440)</f>
        <v/>
      </c>
      <c r="T83" s="105" t="str">
        <f>IF(ISBLANK(Term1_Early_Dismissal_3[[#This Row],[Activity]]),"",IF(_xlfn.XLOOKUP(Term1_Early_Dismissal_3[[#This Row],[Activity]],Types_of_Activity[Type of Activity],Types_of_Activity[Classification])=1,Term1_Early_Dismissal_3[[#This Row],[Elapsed]],0))</f>
        <v/>
      </c>
      <c r="U83" s="105" t="str">
        <f>IF(ISBLANK(Term1_Early_Dismissal_3[[#This Row],[Activity]]),"",IF(_xlfn.XLOOKUP(Term1_Early_Dismissal_3[[#This Row],[Activity]],Types_of_Activity[Type of Activity],Types_of_Activity[Classification])=2,Term1_Early_Dismissal_3[[#This Row],[Elapsed]],0))</f>
        <v/>
      </c>
      <c r="W83" s="135"/>
      <c r="X83" s="135"/>
      <c r="Y83" s="102"/>
      <c r="Z83" s="105" t="str">
        <f>IF(OR(ISBLANK(Term1_Early_Dismissal_4[[#This Row],[Start]]),ISBLANK(Term1_Early_Dismissal_4[[#This Row],[End]])),"",(Term1_Early_Dismissal_4[[#This Row],[End]]-Term1_Early_Dismissal_4[[#This Row],[Start]])*1440)</f>
        <v/>
      </c>
      <c r="AA83" s="105" t="str">
        <f>IF(ISBLANK(Term1_Early_Dismissal_4[[#This Row],[Activity]]),"",IF(_xlfn.XLOOKUP(Term1_Early_Dismissal_4[[#This Row],[Activity]],Types_of_Activity[Type of Activity],Types_of_Activity[Classification])=1,Term1_Early_Dismissal_4[[#This Row],[Elapsed]],0))</f>
        <v/>
      </c>
      <c r="AB83" s="105" t="str">
        <f>IF(ISBLANK(Term1_Early_Dismissal_4[[#This Row],[Activity]]),"",IF(_xlfn.XLOOKUP(Term1_Early_Dismissal_4[[#This Row],[Activity]],Types_of_Activity[Type of Activity],Types_of_Activity[Classification])=2,Term1_Early_Dismissal_4[[#This Row],[Elapsed]],0))</f>
        <v/>
      </c>
      <c r="AD83" s="135"/>
      <c r="AE83" s="135"/>
      <c r="AF83" s="102"/>
      <c r="AG83" s="105" t="str">
        <f>IF(OR(ISBLANK(Term1_Early_Dismissal_5[[#This Row],[Start]]),ISBLANK(Term1_Early_Dismissal_5[[#This Row],[End]])),"",(Term1_Early_Dismissal_5[[#This Row],[End]]-Term1_Early_Dismissal_5[[#This Row],[Start]])*1440)</f>
        <v/>
      </c>
      <c r="AH83" s="105" t="str">
        <f>IF(ISBLANK(Term1_Early_Dismissal_5[[#This Row],[Activity]]),"",IF(_xlfn.XLOOKUP(Term1_Early_Dismissal_5[[#This Row],[Activity]],Types_of_Activity[Type of Activity],Types_of_Activity[Classification])=1,Term1_Early_Dismissal_5[[#This Row],[Elapsed]],0))</f>
        <v/>
      </c>
      <c r="AI83" s="105" t="str">
        <f>IF(ISBLANK(Term1_Early_Dismissal_5[[#This Row],[Activity]]),"",IF(_xlfn.XLOOKUP(Term1_Early_Dismissal_5[[#This Row],[Activity]],Types_of_Activity[Type of Activity],Types_of_Activity[Classification])=2,Term1_Early_Dismissal_5[[#This Row],[Elapsed]],0))</f>
        <v/>
      </c>
      <c r="AK83" s="135"/>
      <c r="AL83" s="135"/>
      <c r="AM83" s="102"/>
      <c r="AN83" s="105" t="str">
        <f>IF(OR(ISBLANK(Term1_Early_Dismissal_6[[#This Row],[Start]]),ISBLANK(Term1_Early_Dismissal_6[[#This Row],[End]])),"",(Term1_Early_Dismissal_6[[#This Row],[End]]-Term1_Early_Dismissal_6[[#This Row],[Start]])*1440)</f>
        <v/>
      </c>
      <c r="AO83" s="105" t="str">
        <f>IF(ISBLANK(Term1_Early_Dismissal_6[[#This Row],[Activity]]),"",IF(_xlfn.XLOOKUP(Term1_Early_Dismissal_6[[#This Row],[Activity]],Types_of_Activity[Type of Activity],Types_of_Activity[Classification])=1,Term1_Early_Dismissal_6[[#This Row],[Elapsed]],0))</f>
        <v/>
      </c>
      <c r="AP83" s="105" t="str">
        <f>IF(ISBLANK(Term1_Early_Dismissal_6[[#This Row],[Activity]]),"",IF(_xlfn.XLOOKUP(Term1_Early_Dismissal_6[[#This Row],[Activity]],Types_of_Activity[Type of Activity],Types_of_Activity[Classification])=2,Term1_Early_Dismissal_6[[#This Row],[Elapsed]],0))</f>
        <v/>
      </c>
    </row>
    <row r="84" spans="2:42" x14ac:dyDescent="0.3">
      <c r="B84" s="135"/>
      <c r="C84" s="135"/>
      <c r="D84" s="102"/>
      <c r="E84" s="105" t="str">
        <f>IF(OR(ISBLANK(Term1_Early_Dismissal_1[[#This Row],[Start]]),ISBLANK(Term1_Early_Dismissal_1[[#This Row],[End]])),"",(Term1_Early_Dismissal_1[[#This Row],[End]]-Term1_Early_Dismissal_1[[#This Row],[Start]])*1440)</f>
        <v/>
      </c>
      <c r="F84" s="105" t="str">
        <f>IF(ISBLANK(Term1_Early_Dismissal_1[[#This Row],[Activity]]),"",IF(_xlfn.XLOOKUP(Term1_Early_Dismissal_1[[#This Row],[Activity]],Types_of_Activity[Type of Activity],Types_of_Activity[Classification])=1,Term1_Early_Dismissal_1[[#This Row],[Elapsed]],0))</f>
        <v/>
      </c>
      <c r="G84" s="105" t="str">
        <f>IF(ISBLANK(Term1_Early_Dismissal_1[[#This Row],[Activity]]),"",IF(_xlfn.XLOOKUP(Term1_Early_Dismissal_1[[#This Row],[Activity]],Types_of_Activity[Type of Activity],Types_of_Activity[Classification])=2,Term1_Early_Dismissal_1[[#This Row],[Elapsed]],0))</f>
        <v/>
      </c>
      <c r="H84"/>
      <c r="I84" s="135"/>
      <c r="J84" s="135"/>
      <c r="K84" s="102"/>
      <c r="L84" s="105" t="str">
        <f>IF(OR(ISBLANK(Term1_Early_Dismissal_2[[#This Row],[Start]]),ISBLANK(Term1_Early_Dismissal_2[[#This Row],[End]])),"",(Term1_Early_Dismissal_2[[#This Row],[End]]-Term1_Early_Dismissal_2[[#This Row],[Start]])*1440)</f>
        <v/>
      </c>
      <c r="M84" s="105" t="str">
        <f>IF(ISBLANK(Term1_Early_Dismissal_2[[#This Row],[Activity]]),"",IF(_xlfn.XLOOKUP(Term1_Early_Dismissal_2[[#This Row],[Activity]],Types_of_Activity[Type of Activity],Types_of_Activity[Classification])=1,Term1_Early_Dismissal_2[[#This Row],[Elapsed]],0))</f>
        <v/>
      </c>
      <c r="N84" s="105" t="str">
        <f>IF(ISBLANK(Term1_Early_Dismissal_2[[#This Row],[Activity]]),"",IF(_xlfn.XLOOKUP(Term1_Early_Dismissal_2[[#This Row],[Activity]],Types_of_Activity[Type of Activity],Types_of_Activity[Classification])=2,Term1_Early_Dismissal_2[[#This Row],[Elapsed]],0))</f>
        <v/>
      </c>
      <c r="O84"/>
      <c r="P84" s="135"/>
      <c r="Q84" s="135"/>
      <c r="R84" s="102"/>
      <c r="S84" s="105" t="str">
        <f>IF(OR(ISBLANK(Term1_Early_Dismissal_3[[#This Row],[Start]]),ISBLANK(Term1_Early_Dismissal_3[[#This Row],[End]])),"",(Term1_Early_Dismissal_3[[#This Row],[End]]-Term1_Early_Dismissal_3[[#This Row],[Start]])*1440)</f>
        <v/>
      </c>
      <c r="T84" s="105" t="str">
        <f>IF(ISBLANK(Term1_Early_Dismissal_3[[#This Row],[Activity]]),"",IF(_xlfn.XLOOKUP(Term1_Early_Dismissal_3[[#This Row],[Activity]],Types_of_Activity[Type of Activity],Types_of_Activity[Classification])=1,Term1_Early_Dismissal_3[[#This Row],[Elapsed]],0))</f>
        <v/>
      </c>
      <c r="U84" s="105" t="str">
        <f>IF(ISBLANK(Term1_Early_Dismissal_3[[#This Row],[Activity]]),"",IF(_xlfn.XLOOKUP(Term1_Early_Dismissal_3[[#This Row],[Activity]],Types_of_Activity[Type of Activity],Types_of_Activity[Classification])=2,Term1_Early_Dismissal_3[[#This Row],[Elapsed]],0))</f>
        <v/>
      </c>
      <c r="W84" s="135"/>
      <c r="X84" s="135"/>
      <c r="Y84" s="102"/>
      <c r="Z84" s="105" t="str">
        <f>IF(OR(ISBLANK(Term1_Early_Dismissal_4[[#This Row],[Start]]),ISBLANK(Term1_Early_Dismissal_4[[#This Row],[End]])),"",(Term1_Early_Dismissal_4[[#This Row],[End]]-Term1_Early_Dismissal_4[[#This Row],[Start]])*1440)</f>
        <v/>
      </c>
      <c r="AA84" s="105" t="str">
        <f>IF(ISBLANK(Term1_Early_Dismissal_4[[#This Row],[Activity]]),"",IF(_xlfn.XLOOKUP(Term1_Early_Dismissal_4[[#This Row],[Activity]],Types_of_Activity[Type of Activity],Types_of_Activity[Classification])=1,Term1_Early_Dismissal_4[[#This Row],[Elapsed]],0))</f>
        <v/>
      </c>
      <c r="AB84" s="105" t="str">
        <f>IF(ISBLANK(Term1_Early_Dismissal_4[[#This Row],[Activity]]),"",IF(_xlfn.XLOOKUP(Term1_Early_Dismissal_4[[#This Row],[Activity]],Types_of_Activity[Type of Activity],Types_of_Activity[Classification])=2,Term1_Early_Dismissal_4[[#This Row],[Elapsed]],0))</f>
        <v/>
      </c>
      <c r="AD84" s="135"/>
      <c r="AE84" s="135"/>
      <c r="AF84" s="102"/>
      <c r="AG84" s="105" t="str">
        <f>IF(OR(ISBLANK(Term1_Early_Dismissal_5[[#This Row],[Start]]),ISBLANK(Term1_Early_Dismissal_5[[#This Row],[End]])),"",(Term1_Early_Dismissal_5[[#This Row],[End]]-Term1_Early_Dismissal_5[[#This Row],[Start]])*1440)</f>
        <v/>
      </c>
      <c r="AH84" s="105" t="str">
        <f>IF(ISBLANK(Term1_Early_Dismissal_5[[#This Row],[Activity]]),"",IF(_xlfn.XLOOKUP(Term1_Early_Dismissal_5[[#This Row],[Activity]],Types_of_Activity[Type of Activity],Types_of_Activity[Classification])=1,Term1_Early_Dismissal_5[[#This Row],[Elapsed]],0))</f>
        <v/>
      </c>
      <c r="AI84" s="105" t="str">
        <f>IF(ISBLANK(Term1_Early_Dismissal_5[[#This Row],[Activity]]),"",IF(_xlfn.XLOOKUP(Term1_Early_Dismissal_5[[#This Row],[Activity]],Types_of_Activity[Type of Activity],Types_of_Activity[Classification])=2,Term1_Early_Dismissal_5[[#This Row],[Elapsed]],0))</f>
        <v/>
      </c>
      <c r="AK84" s="135"/>
      <c r="AL84" s="135"/>
      <c r="AM84" s="102"/>
      <c r="AN84" s="105" t="str">
        <f>IF(OR(ISBLANK(Term1_Early_Dismissal_6[[#This Row],[Start]]),ISBLANK(Term1_Early_Dismissal_6[[#This Row],[End]])),"",(Term1_Early_Dismissal_6[[#This Row],[End]]-Term1_Early_Dismissal_6[[#This Row],[Start]])*1440)</f>
        <v/>
      </c>
      <c r="AO84" s="105" t="str">
        <f>IF(ISBLANK(Term1_Early_Dismissal_6[[#This Row],[Activity]]),"",IF(_xlfn.XLOOKUP(Term1_Early_Dismissal_6[[#This Row],[Activity]],Types_of_Activity[Type of Activity],Types_of_Activity[Classification])=1,Term1_Early_Dismissal_6[[#This Row],[Elapsed]],0))</f>
        <v/>
      </c>
      <c r="AP84" s="105" t="str">
        <f>IF(ISBLANK(Term1_Early_Dismissal_6[[#This Row],[Activity]]),"",IF(_xlfn.XLOOKUP(Term1_Early_Dismissal_6[[#This Row],[Activity]],Types_of_Activity[Type of Activity],Types_of_Activity[Classification])=2,Term1_Early_Dismissal_6[[#This Row],[Elapsed]],0))</f>
        <v/>
      </c>
    </row>
    <row r="85" spans="2:42" x14ac:dyDescent="0.3">
      <c r="B85" s="135"/>
      <c r="C85" s="135"/>
      <c r="D85" s="102"/>
      <c r="E85" s="105" t="str">
        <f>IF(OR(ISBLANK(Term1_Early_Dismissal_1[[#This Row],[Start]]),ISBLANK(Term1_Early_Dismissal_1[[#This Row],[End]])),"",(Term1_Early_Dismissal_1[[#This Row],[End]]-Term1_Early_Dismissal_1[[#This Row],[Start]])*1440)</f>
        <v/>
      </c>
      <c r="F85" s="105" t="str">
        <f>IF(ISBLANK(Term1_Early_Dismissal_1[[#This Row],[Activity]]),"",IF(_xlfn.XLOOKUP(Term1_Early_Dismissal_1[[#This Row],[Activity]],Types_of_Activity[Type of Activity],Types_of_Activity[Classification])=1,Term1_Early_Dismissal_1[[#This Row],[Elapsed]],0))</f>
        <v/>
      </c>
      <c r="G85" s="105" t="str">
        <f>IF(ISBLANK(Term1_Early_Dismissal_1[[#This Row],[Activity]]),"",IF(_xlfn.XLOOKUP(Term1_Early_Dismissal_1[[#This Row],[Activity]],Types_of_Activity[Type of Activity],Types_of_Activity[Classification])=2,Term1_Early_Dismissal_1[[#This Row],[Elapsed]],0))</f>
        <v/>
      </c>
      <c r="H85"/>
      <c r="I85" s="135"/>
      <c r="J85" s="135"/>
      <c r="K85" s="102"/>
      <c r="L85" s="105" t="str">
        <f>IF(OR(ISBLANK(Term1_Early_Dismissal_2[[#This Row],[Start]]),ISBLANK(Term1_Early_Dismissal_2[[#This Row],[End]])),"",(Term1_Early_Dismissal_2[[#This Row],[End]]-Term1_Early_Dismissal_2[[#This Row],[Start]])*1440)</f>
        <v/>
      </c>
      <c r="M85" s="105" t="str">
        <f>IF(ISBLANK(Term1_Early_Dismissal_2[[#This Row],[Activity]]),"",IF(_xlfn.XLOOKUP(Term1_Early_Dismissal_2[[#This Row],[Activity]],Types_of_Activity[Type of Activity],Types_of_Activity[Classification])=1,Term1_Early_Dismissal_2[[#This Row],[Elapsed]],0))</f>
        <v/>
      </c>
      <c r="N85" s="105" t="str">
        <f>IF(ISBLANK(Term1_Early_Dismissal_2[[#This Row],[Activity]]),"",IF(_xlfn.XLOOKUP(Term1_Early_Dismissal_2[[#This Row],[Activity]],Types_of_Activity[Type of Activity],Types_of_Activity[Classification])=2,Term1_Early_Dismissal_2[[#This Row],[Elapsed]],0))</f>
        <v/>
      </c>
      <c r="O85"/>
      <c r="P85" s="135"/>
      <c r="Q85" s="135"/>
      <c r="R85" s="102"/>
      <c r="S85" s="105" t="str">
        <f>IF(OR(ISBLANK(Term1_Early_Dismissal_3[[#This Row],[Start]]),ISBLANK(Term1_Early_Dismissal_3[[#This Row],[End]])),"",(Term1_Early_Dismissal_3[[#This Row],[End]]-Term1_Early_Dismissal_3[[#This Row],[Start]])*1440)</f>
        <v/>
      </c>
      <c r="T85" s="105" t="str">
        <f>IF(ISBLANK(Term1_Early_Dismissal_3[[#This Row],[Activity]]),"",IF(_xlfn.XLOOKUP(Term1_Early_Dismissal_3[[#This Row],[Activity]],Types_of_Activity[Type of Activity],Types_of_Activity[Classification])=1,Term1_Early_Dismissal_3[[#This Row],[Elapsed]],0))</f>
        <v/>
      </c>
      <c r="U85" s="105" t="str">
        <f>IF(ISBLANK(Term1_Early_Dismissal_3[[#This Row],[Activity]]),"",IF(_xlfn.XLOOKUP(Term1_Early_Dismissal_3[[#This Row],[Activity]],Types_of_Activity[Type of Activity],Types_of_Activity[Classification])=2,Term1_Early_Dismissal_3[[#This Row],[Elapsed]],0))</f>
        <v/>
      </c>
      <c r="W85" s="135"/>
      <c r="X85" s="135"/>
      <c r="Y85" s="102"/>
      <c r="Z85" s="105" t="str">
        <f>IF(OR(ISBLANK(Term1_Early_Dismissal_4[[#This Row],[Start]]),ISBLANK(Term1_Early_Dismissal_4[[#This Row],[End]])),"",(Term1_Early_Dismissal_4[[#This Row],[End]]-Term1_Early_Dismissal_4[[#This Row],[Start]])*1440)</f>
        <v/>
      </c>
      <c r="AA85" s="105" t="str">
        <f>IF(ISBLANK(Term1_Early_Dismissal_4[[#This Row],[Activity]]),"",IF(_xlfn.XLOOKUP(Term1_Early_Dismissal_4[[#This Row],[Activity]],Types_of_Activity[Type of Activity],Types_of_Activity[Classification])=1,Term1_Early_Dismissal_4[[#This Row],[Elapsed]],0))</f>
        <v/>
      </c>
      <c r="AB85" s="105" t="str">
        <f>IF(ISBLANK(Term1_Early_Dismissal_4[[#This Row],[Activity]]),"",IF(_xlfn.XLOOKUP(Term1_Early_Dismissal_4[[#This Row],[Activity]],Types_of_Activity[Type of Activity],Types_of_Activity[Classification])=2,Term1_Early_Dismissal_4[[#This Row],[Elapsed]],0))</f>
        <v/>
      </c>
      <c r="AD85" s="135"/>
      <c r="AE85" s="135"/>
      <c r="AF85" s="102"/>
      <c r="AG85" s="105" t="str">
        <f>IF(OR(ISBLANK(Term1_Early_Dismissal_5[[#This Row],[Start]]),ISBLANK(Term1_Early_Dismissal_5[[#This Row],[End]])),"",(Term1_Early_Dismissal_5[[#This Row],[End]]-Term1_Early_Dismissal_5[[#This Row],[Start]])*1440)</f>
        <v/>
      </c>
      <c r="AH85" s="105" t="str">
        <f>IF(ISBLANK(Term1_Early_Dismissal_5[[#This Row],[Activity]]),"",IF(_xlfn.XLOOKUP(Term1_Early_Dismissal_5[[#This Row],[Activity]],Types_of_Activity[Type of Activity],Types_of_Activity[Classification])=1,Term1_Early_Dismissal_5[[#This Row],[Elapsed]],0))</f>
        <v/>
      </c>
      <c r="AI85" s="105" t="str">
        <f>IF(ISBLANK(Term1_Early_Dismissal_5[[#This Row],[Activity]]),"",IF(_xlfn.XLOOKUP(Term1_Early_Dismissal_5[[#This Row],[Activity]],Types_of_Activity[Type of Activity],Types_of_Activity[Classification])=2,Term1_Early_Dismissal_5[[#This Row],[Elapsed]],0))</f>
        <v/>
      </c>
      <c r="AK85" s="135"/>
      <c r="AL85" s="135"/>
      <c r="AM85" s="102"/>
      <c r="AN85" s="105" t="str">
        <f>IF(OR(ISBLANK(Term1_Early_Dismissal_6[[#This Row],[Start]]),ISBLANK(Term1_Early_Dismissal_6[[#This Row],[End]])),"",(Term1_Early_Dismissal_6[[#This Row],[End]]-Term1_Early_Dismissal_6[[#This Row],[Start]])*1440)</f>
        <v/>
      </c>
      <c r="AO85" s="105" t="str">
        <f>IF(ISBLANK(Term1_Early_Dismissal_6[[#This Row],[Activity]]),"",IF(_xlfn.XLOOKUP(Term1_Early_Dismissal_6[[#This Row],[Activity]],Types_of_Activity[Type of Activity],Types_of_Activity[Classification])=1,Term1_Early_Dismissal_6[[#This Row],[Elapsed]],0))</f>
        <v/>
      </c>
      <c r="AP85" s="105" t="str">
        <f>IF(ISBLANK(Term1_Early_Dismissal_6[[#This Row],[Activity]]),"",IF(_xlfn.XLOOKUP(Term1_Early_Dismissal_6[[#This Row],[Activity]],Types_of_Activity[Type of Activity],Types_of_Activity[Classification])=2,Term1_Early_Dismissal_6[[#This Row],[Elapsed]],0))</f>
        <v/>
      </c>
    </row>
    <row r="86" spans="2:42" x14ac:dyDescent="0.3">
      <c r="B86" s="135"/>
      <c r="C86" s="135"/>
      <c r="D86" s="102"/>
      <c r="E86" s="105" t="str">
        <f>IF(OR(ISBLANK(Term1_Early_Dismissal_1[[#This Row],[Start]]),ISBLANK(Term1_Early_Dismissal_1[[#This Row],[End]])),"",(Term1_Early_Dismissal_1[[#This Row],[End]]-Term1_Early_Dismissal_1[[#This Row],[Start]])*1440)</f>
        <v/>
      </c>
      <c r="F86" s="105" t="str">
        <f>IF(ISBLANK(Term1_Early_Dismissal_1[[#This Row],[Activity]]),"",IF(_xlfn.XLOOKUP(Term1_Early_Dismissal_1[[#This Row],[Activity]],Types_of_Activity[Type of Activity],Types_of_Activity[Classification])=1,Term1_Early_Dismissal_1[[#This Row],[Elapsed]],0))</f>
        <v/>
      </c>
      <c r="G86" s="105" t="str">
        <f>IF(ISBLANK(Term1_Early_Dismissal_1[[#This Row],[Activity]]),"",IF(_xlfn.XLOOKUP(Term1_Early_Dismissal_1[[#This Row],[Activity]],Types_of_Activity[Type of Activity],Types_of_Activity[Classification])=2,Term1_Early_Dismissal_1[[#This Row],[Elapsed]],0))</f>
        <v/>
      </c>
      <c r="H86"/>
      <c r="I86" s="135"/>
      <c r="J86" s="135"/>
      <c r="K86" s="102"/>
      <c r="L86" s="105" t="str">
        <f>IF(OR(ISBLANK(Term1_Early_Dismissal_2[[#This Row],[Start]]),ISBLANK(Term1_Early_Dismissal_2[[#This Row],[End]])),"",(Term1_Early_Dismissal_2[[#This Row],[End]]-Term1_Early_Dismissal_2[[#This Row],[Start]])*1440)</f>
        <v/>
      </c>
      <c r="M86" s="105" t="str">
        <f>IF(ISBLANK(Term1_Early_Dismissal_2[[#This Row],[Activity]]),"",IF(_xlfn.XLOOKUP(Term1_Early_Dismissal_2[[#This Row],[Activity]],Types_of_Activity[Type of Activity],Types_of_Activity[Classification])=1,Term1_Early_Dismissal_2[[#This Row],[Elapsed]],0))</f>
        <v/>
      </c>
      <c r="N86" s="105" t="str">
        <f>IF(ISBLANK(Term1_Early_Dismissal_2[[#This Row],[Activity]]),"",IF(_xlfn.XLOOKUP(Term1_Early_Dismissal_2[[#This Row],[Activity]],Types_of_Activity[Type of Activity],Types_of_Activity[Classification])=2,Term1_Early_Dismissal_2[[#This Row],[Elapsed]],0))</f>
        <v/>
      </c>
      <c r="O86"/>
      <c r="P86" s="135"/>
      <c r="Q86" s="135"/>
      <c r="R86" s="102"/>
      <c r="S86" s="105" t="str">
        <f>IF(OR(ISBLANK(Term1_Early_Dismissal_3[[#This Row],[Start]]),ISBLANK(Term1_Early_Dismissal_3[[#This Row],[End]])),"",(Term1_Early_Dismissal_3[[#This Row],[End]]-Term1_Early_Dismissal_3[[#This Row],[Start]])*1440)</f>
        <v/>
      </c>
      <c r="T86" s="105" t="str">
        <f>IF(ISBLANK(Term1_Early_Dismissal_3[[#This Row],[Activity]]),"",IF(_xlfn.XLOOKUP(Term1_Early_Dismissal_3[[#This Row],[Activity]],Types_of_Activity[Type of Activity],Types_of_Activity[Classification])=1,Term1_Early_Dismissal_3[[#This Row],[Elapsed]],0))</f>
        <v/>
      </c>
      <c r="U86" s="105" t="str">
        <f>IF(ISBLANK(Term1_Early_Dismissal_3[[#This Row],[Activity]]),"",IF(_xlfn.XLOOKUP(Term1_Early_Dismissal_3[[#This Row],[Activity]],Types_of_Activity[Type of Activity],Types_of_Activity[Classification])=2,Term1_Early_Dismissal_3[[#This Row],[Elapsed]],0))</f>
        <v/>
      </c>
      <c r="W86" s="135"/>
      <c r="X86" s="135"/>
      <c r="Y86" s="102"/>
      <c r="Z86" s="105" t="str">
        <f>IF(OR(ISBLANK(Term1_Early_Dismissal_4[[#This Row],[Start]]),ISBLANK(Term1_Early_Dismissal_4[[#This Row],[End]])),"",(Term1_Early_Dismissal_4[[#This Row],[End]]-Term1_Early_Dismissal_4[[#This Row],[Start]])*1440)</f>
        <v/>
      </c>
      <c r="AA86" s="105" t="str">
        <f>IF(ISBLANK(Term1_Early_Dismissal_4[[#This Row],[Activity]]),"",IF(_xlfn.XLOOKUP(Term1_Early_Dismissal_4[[#This Row],[Activity]],Types_of_Activity[Type of Activity],Types_of_Activity[Classification])=1,Term1_Early_Dismissal_4[[#This Row],[Elapsed]],0))</f>
        <v/>
      </c>
      <c r="AB86" s="105" t="str">
        <f>IF(ISBLANK(Term1_Early_Dismissal_4[[#This Row],[Activity]]),"",IF(_xlfn.XLOOKUP(Term1_Early_Dismissal_4[[#This Row],[Activity]],Types_of_Activity[Type of Activity],Types_of_Activity[Classification])=2,Term1_Early_Dismissal_4[[#This Row],[Elapsed]],0))</f>
        <v/>
      </c>
      <c r="AD86" s="135"/>
      <c r="AE86" s="135"/>
      <c r="AF86" s="102"/>
      <c r="AG86" s="105" t="str">
        <f>IF(OR(ISBLANK(Term1_Early_Dismissal_5[[#This Row],[Start]]),ISBLANK(Term1_Early_Dismissal_5[[#This Row],[End]])),"",(Term1_Early_Dismissal_5[[#This Row],[End]]-Term1_Early_Dismissal_5[[#This Row],[Start]])*1440)</f>
        <v/>
      </c>
      <c r="AH86" s="105" t="str">
        <f>IF(ISBLANK(Term1_Early_Dismissal_5[[#This Row],[Activity]]),"",IF(_xlfn.XLOOKUP(Term1_Early_Dismissal_5[[#This Row],[Activity]],Types_of_Activity[Type of Activity],Types_of_Activity[Classification])=1,Term1_Early_Dismissal_5[[#This Row],[Elapsed]],0))</f>
        <v/>
      </c>
      <c r="AI86" s="105" t="str">
        <f>IF(ISBLANK(Term1_Early_Dismissal_5[[#This Row],[Activity]]),"",IF(_xlfn.XLOOKUP(Term1_Early_Dismissal_5[[#This Row],[Activity]],Types_of_Activity[Type of Activity],Types_of_Activity[Classification])=2,Term1_Early_Dismissal_5[[#This Row],[Elapsed]],0))</f>
        <v/>
      </c>
      <c r="AK86" s="135"/>
      <c r="AL86" s="135"/>
      <c r="AM86" s="102"/>
      <c r="AN86" s="105" t="str">
        <f>IF(OR(ISBLANK(Term1_Early_Dismissal_6[[#This Row],[Start]]),ISBLANK(Term1_Early_Dismissal_6[[#This Row],[End]])),"",(Term1_Early_Dismissal_6[[#This Row],[End]]-Term1_Early_Dismissal_6[[#This Row],[Start]])*1440)</f>
        <v/>
      </c>
      <c r="AO86" s="105" t="str">
        <f>IF(ISBLANK(Term1_Early_Dismissal_6[[#This Row],[Activity]]),"",IF(_xlfn.XLOOKUP(Term1_Early_Dismissal_6[[#This Row],[Activity]],Types_of_Activity[Type of Activity],Types_of_Activity[Classification])=1,Term1_Early_Dismissal_6[[#This Row],[Elapsed]],0))</f>
        <v/>
      </c>
      <c r="AP86" s="105" t="str">
        <f>IF(ISBLANK(Term1_Early_Dismissal_6[[#This Row],[Activity]]),"",IF(_xlfn.XLOOKUP(Term1_Early_Dismissal_6[[#This Row],[Activity]],Types_of_Activity[Type of Activity],Types_of_Activity[Classification])=2,Term1_Early_Dismissal_6[[#This Row],[Elapsed]],0))</f>
        <v/>
      </c>
    </row>
    <row r="87" spans="2:42" x14ac:dyDescent="0.3">
      <c r="B87" s="135"/>
      <c r="C87" s="135"/>
      <c r="D87" s="102"/>
      <c r="E87" s="105" t="str">
        <f>IF(OR(ISBLANK(Term1_Early_Dismissal_1[[#This Row],[Start]]),ISBLANK(Term1_Early_Dismissal_1[[#This Row],[End]])),"",(Term1_Early_Dismissal_1[[#This Row],[End]]-Term1_Early_Dismissal_1[[#This Row],[Start]])*1440)</f>
        <v/>
      </c>
      <c r="F87" s="105" t="str">
        <f>IF(ISBLANK(Term1_Early_Dismissal_1[[#This Row],[Activity]]),"",IF(_xlfn.XLOOKUP(Term1_Early_Dismissal_1[[#This Row],[Activity]],Types_of_Activity[Type of Activity],Types_of_Activity[Classification])=1,Term1_Early_Dismissal_1[[#This Row],[Elapsed]],0))</f>
        <v/>
      </c>
      <c r="G87" s="105" t="str">
        <f>IF(ISBLANK(Term1_Early_Dismissal_1[[#This Row],[Activity]]),"",IF(_xlfn.XLOOKUP(Term1_Early_Dismissal_1[[#This Row],[Activity]],Types_of_Activity[Type of Activity],Types_of_Activity[Classification])=2,Term1_Early_Dismissal_1[[#This Row],[Elapsed]],0))</f>
        <v/>
      </c>
      <c r="H87"/>
      <c r="I87" s="135"/>
      <c r="J87" s="135"/>
      <c r="K87" s="102"/>
      <c r="L87" s="105" t="str">
        <f>IF(OR(ISBLANK(Term1_Early_Dismissal_2[[#This Row],[Start]]),ISBLANK(Term1_Early_Dismissal_2[[#This Row],[End]])),"",(Term1_Early_Dismissal_2[[#This Row],[End]]-Term1_Early_Dismissal_2[[#This Row],[Start]])*1440)</f>
        <v/>
      </c>
      <c r="M87" s="105" t="str">
        <f>IF(ISBLANK(Term1_Early_Dismissal_2[[#This Row],[Activity]]),"",IF(_xlfn.XLOOKUP(Term1_Early_Dismissal_2[[#This Row],[Activity]],Types_of_Activity[Type of Activity],Types_of_Activity[Classification])=1,Term1_Early_Dismissal_2[[#This Row],[Elapsed]],0))</f>
        <v/>
      </c>
      <c r="N87" s="105" t="str">
        <f>IF(ISBLANK(Term1_Early_Dismissal_2[[#This Row],[Activity]]),"",IF(_xlfn.XLOOKUP(Term1_Early_Dismissal_2[[#This Row],[Activity]],Types_of_Activity[Type of Activity],Types_of_Activity[Classification])=2,Term1_Early_Dismissal_2[[#This Row],[Elapsed]],0))</f>
        <v/>
      </c>
      <c r="O87"/>
      <c r="P87" s="135"/>
      <c r="Q87" s="135"/>
      <c r="R87" s="102"/>
      <c r="S87" s="105" t="str">
        <f>IF(OR(ISBLANK(Term1_Early_Dismissal_3[[#This Row],[Start]]),ISBLANK(Term1_Early_Dismissal_3[[#This Row],[End]])),"",(Term1_Early_Dismissal_3[[#This Row],[End]]-Term1_Early_Dismissal_3[[#This Row],[Start]])*1440)</f>
        <v/>
      </c>
      <c r="T87" s="105" t="str">
        <f>IF(ISBLANK(Term1_Early_Dismissal_3[[#This Row],[Activity]]),"",IF(_xlfn.XLOOKUP(Term1_Early_Dismissal_3[[#This Row],[Activity]],Types_of_Activity[Type of Activity],Types_of_Activity[Classification])=1,Term1_Early_Dismissal_3[[#This Row],[Elapsed]],0))</f>
        <v/>
      </c>
      <c r="U87" s="105" t="str">
        <f>IF(ISBLANK(Term1_Early_Dismissal_3[[#This Row],[Activity]]),"",IF(_xlfn.XLOOKUP(Term1_Early_Dismissal_3[[#This Row],[Activity]],Types_of_Activity[Type of Activity],Types_of_Activity[Classification])=2,Term1_Early_Dismissal_3[[#This Row],[Elapsed]],0))</f>
        <v/>
      </c>
      <c r="W87" s="135"/>
      <c r="X87" s="135"/>
      <c r="Y87" s="102"/>
      <c r="Z87" s="105" t="str">
        <f>IF(OR(ISBLANK(Term1_Early_Dismissal_4[[#This Row],[Start]]),ISBLANK(Term1_Early_Dismissal_4[[#This Row],[End]])),"",(Term1_Early_Dismissal_4[[#This Row],[End]]-Term1_Early_Dismissal_4[[#This Row],[Start]])*1440)</f>
        <v/>
      </c>
      <c r="AA87" s="105" t="str">
        <f>IF(ISBLANK(Term1_Early_Dismissal_4[[#This Row],[Activity]]),"",IF(_xlfn.XLOOKUP(Term1_Early_Dismissal_4[[#This Row],[Activity]],Types_of_Activity[Type of Activity],Types_of_Activity[Classification])=1,Term1_Early_Dismissal_4[[#This Row],[Elapsed]],0))</f>
        <v/>
      </c>
      <c r="AB87" s="105" t="str">
        <f>IF(ISBLANK(Term1_Early_Dismissal_4[[#This Row],[Activity]]),"",IF(_xlfn.XLOOKUP(Term1_Early_Dismissal_4[[#This Row],[Activity]],Types_of_Activity[Type of Activity],Types_of_Activity[Classification])=2,Term1_Early_Dismissal_4[[#This Row],[Elapsed]],0))</f>
        <v/>
      </c>
      <c r="AD87" s="135"/>
      <c r="AE87" s="135"/>
      <c r="AF87" s="102"/>
      <c r="AG87" s="105" t="str">
        <f>IF(OR(ISBLANK(Term1_Early_Dismissal_5[[#This Row],[Start]]),ISBLANK(Term1_Early_Dismissal_5[[#This Row],[End]])),"",(Term1_Early_Dismissal_5[[#This Row],[End]]-Term1_Early_Dismissal_5[[#This Row],[Start]])*1440)</f>
        <v/>
      </c>
      <c r="AH87" s="105" t="str">
        <f>IF(ISBLANK(Term1_Early_Dismissal_5[[#This Row],[Activity]]),"",IF(_xlfn.XLOOKUP(Term1_Early_Dismissal_5[[#This Row],[Activity]],Types_of_Activity[Type of Activity],Types_of_Activity[Classification])=1,Term1_Early_Dismissal_5[[#This Row],[Elapsed]],0))</f>
        <v/>
      </c>
      <c r="AI87" s="105" t="str">
        <f>IF(ISBLANK(Term1_Early_Dismissal_5[[#This Row],[Activity]]),"",IF(_xlfn.XLOOKUP(Term1_Early_Dismissal_5[[#This Row],[Activity]],Types_of_Activity[Type of Activity],Types_of_Activity[Classification])=2,Term1_Early_Dismissal_5[[#This Row],[Elapsed]],0))</f>
        <v/>
      </c>
      <c r="AK87" s="135"/>
      <c r="AL87" s="135"/>
      <c r="AM87" s="102"/>
      <c r="AN87" s="105" t="str">
        <f>IF(OR(ISBLANK(Term1_Early_Dismissal_6[[#This Row],[Start]]),ISBLANK(Term1_Early_Dismissal_6[[#This Row],[End]])),"",(Term1_Early_Dismissal_6[[#This Row],[End]]-Term1_Early_Dismissal_6[[#This Row],[Start]])*1440)</f>
        <v/>
      </c>
      <c r="AO87" s="105" t="str">
        <f>IF(ISBLANK(Term1_Early_Dismissal_6[[#This Row],[Activity]]),"",IF(_xlfn.XLOOKUP(Term1_Early_Dismissal_6[[#This Row],[Activity]],Types_of_Activity[Type of Activity],Types_of_Activity[Classification])=1,Term1_Early_Dismissal_6[[#This Row],[Elapsed]],0))</f>
        <v/>
      </c>
      <c r="AP87" s="105" t="str">
        <f>IF(ISBLANK(Term1_Early_Dismissal_6[[#This Row],[Activity]]),"",IF(_xlfn.XLOOKUP(Term1_Early_Dismissal_6[[#This Row],[Activity]],Types_of_Activity[Type of Activity],Types_of_Activity[Classification])=2,Term1_Early_Dismissal_6[[#This Row],[Elapsed]],0))</f>
        <v/>
      </c>
    </row>
    <row r="88" spans="2:42" x14ac:dyDescent="0.3">
      <c r="B88" s="135"/>
      <c r="C88" s="135"/>
      <c r="D88" s="102"/>
      <c r="E88" s="105" t="str">
        <f>IF(OR(ISBLANK(Term1_Early_Dismissal_1[[#This Row],[Start]]),ISBLANK(Term1_Early_Dismissal_1[[#This Row],[End]])),"",(Term1_Early_Dismissal_1[[#This Row],[End]]-Term1_Early_Dismissal_1[[#This Row],[Start]])*1440)</f>
        <v/>
      </c>
      <c r="F88" s="105" t="str">
        <f>IF(ISBLANK(Term1_Early_Dismissal_1[[#This Row],[Activity]]),"",IF(_xlfn.XLOOKUP(Term1_Early_Dismissal_1[[#This Row],[Activity]],Types_of_Activity[Type of Activity],Types_of_Activity[Classification])=1,Term1_Early_Dismissal_1[[#This Row],[Elapsed]],0))</f>
        <v/>
      </c>
      <c r="G88" s="105" t="str">
        <f>IF(ISBLANK(Term1_Early_Dismissal_1[[#This Row],[Activity]]),"",IF(_xlfn.XLOOKUP(Term1_Early_Dismissal_1[[#This Row],[Activity]],Types_of_Activity[Type of Activity],Types_of_Activity[Classification])=2,Term1_Early_Dismissal_1[[#This Row],[Elapsed]],0))</f>
        <v/>
      </c>
      <c r="H88"/>
      <c r="I88" s="135"/>
      <c r="J88" s="135"/>
      <c r="K88" s="102"/>
      <c r="L88" s="105" t="str">
        <f>IF(OR(ISBLANK(Term1_Early_Dismissal_2[[#This Row],[Start]]),ISBLANK(Term1_Early_Dismissal_2[[#This Row],[End]])),"",(Term1_Early_Dismissal_2[[#This Row],[End]]-Term1_Early_Dismissal_2[[#This Row],[Start]])*1440)</f>
        <v/>
      </c>
      <c r="M88" s="105" t="str">
        <f>IF(ISBLANK(Term1_Early_Dismissal_2[[#This Row],[Activity]]),"",IF(_xlfn.XLOOKUP(Term1_Early_Dismissal_2[[#This Row],[Activity]],Types_of_Activity[Type of Activity],Types_of_Activity[Classification])=1,Term1_Early_Dismissal_2[[#This Row],[Elapsed]],0))</f>
        <v/>
      </c>
      <c r="N88" s="105" t="str">
        <f>IF(ISBLANK(Term1_Early_Dismissal_2[[#This Row],[Activity]]),"",IF(_xlfn.XLOOKUP(Term1_Early_Dismissal_2[[#This Row],[Activity]],Types_of_Activity[Type of Activity],Types_of_Activity[Classification])=2,Term1_Early_Dismissal_2[[#This Row],[Elapsed]],0))</f>
        <v/>
      </c>
      <c r="O88"/>
      <c r="P88" s="135"/>
      <c r="Q88" s="135"/>
      <c r="R88" s="102"/>
      <c r="S88" s="105" t="str">
        <f>IF(OR(ISBLANK(Term1_Early_Dismissal_3[[#This Row],[Start]]),ISBLANK(Term1_Early_Dismissal_3[[#This Row],[End]])),"",(Term1_Early_Dismissal_3[[#This Row],[End]]-Term1_Early_Dismissal_3[[#This Row],[Start]])*1440)</f>
        <v/>
      </c>
      <c r="T88" s="105" t="str">
        <f>IF(ISBLANK(Term1_Early_Dismissal_3[[#This Row],[Activity]]),"",IF(_xlfn.XLOOKUP(Term1_Early_Dismissal_3[[#This Row],[Activity]],Types_of_Activity[Type of Activity],Types_of_Activity[Classification])=1,Term1_Early_Dismissal_3[[#This Row],[Elapsed]],0))</f>
        <v/>
      </c>
      <c r="U88" s="105" t="str">
        <f>IF(ISBLANK(Term1_Early_Dismissal_3[[#This Row],[Activity]]),"",IF(_xlfn.XLOOKUP(Term1_Early_Dismissal_3[[#This Row],[Activity]],Types_of_Activity[Type of Activity],Types_of_Activity[Classification])=2,Term1_Early_Dismissal_3[[#This Row],[Elapsed]],0))</f>
        <v/>
      </c>
      <c r="W88" s="135"/>
      <c r="X88" s="135"/>
      <c r="Y88" s="102"/>
      <c r="Z88" s="105" t="str">
        <f>IF(OR(ISBLANK(Term1_Early_Dismissal_4[[#This Row],[Start]]),ISBLANK(Term1_Early_Dismissal_4[[#This Row],[End]])),"",(Term1_Early_Dismissal_4[[#This Row],[End]]-Term1_Early_Dismissal_4[[#This Row],[Start]])*1440)</f>
        <v/>
      </c>
      <c r="AA88" s="105" t="str">
        <f>IF(ISBLANK(Term1_Early_Dismissal_4[[#This Row],[Activity]]),"",IF(_xlfn.XLOOKUP(Term1_Early_Dismissal_4[[#This Row],[Activity]],Types_of_Activity[Type of Activity],Types_of_Activity[Classification])=1,Term1_Early_Dismissal_4[[#This Row],[Elapsed]],0))</f>
        <v/>
      </c>
      <c r="AB88" s="105" t="str">
        <f>IF(ISBLANK(Term1_Early_Dismissal_4[[#This Row],[Activity]]),"",IF(_xlfn.XLOOKUP(Term1_Early_Dismissal_4[[#This Row],[Activity]],Types_of_Activity[Type of Activity],Types_of_Activity[Classification])=2,Term1_Early_Dismissal_4[[#This Row],[Elapsed]],0))</f>
        <v/>
      </c>
      <c r="AD88" s="135"/>
      <c r="AE88" s="135"/>
      <c r="AF88" s="102"/>
      <c r="AG88" s="105" t="str">
        <f>IF(OR(ISBLANK(Term1_Early_Dismissal_5[[#This Row],[Start]]),ISBLANK(Term1_Early_Dismissal_5[[#This Row],[End]])),"",(Term1_Early_Dismissal_5[[#This Row],[End]]-Term1_Early_Dismissal_5[[#This Row],[Start]])*1440)</f>
        <v/>
      </c>
      <c r="AH88" s="105" t="str">
        <f>IF(ISBLANK(Term1_Early_Dismissal_5[[#This Row],[Activity]]),"",IF(_xlfn.XLOOKUP(Term1_Early_Dismissal_5[[#This Row],[Activity]],Types_of_Activity[Type of Activity],Types_of_Activity[Classification])=1,Term1_Early_Dismissal_5[[#This Row],[Elapsed]],0))</f>
        <v/>
      </c>
      <c r="AI88" s="105" t="str">
        <f>IF(ISBLANK(Term1_Early_Dismissal_5[[#This Row],[Activity]]),"",IF(_xlfn.XLOOKUP(Term1_Early_Dismissal_5[[#This Row],[Activity]],Types_of_Activity[Type of Activity],Types_of_Activity[Classification])=2,Term1_Early_Dismissal_5[[#This Row],[Elapsed]],0))</f>
        <v/>
      </c>
      <c r="AK88" s="135"/>
      <c r="AL88" s="135"/>
      <c r="AM88" s="102"/>
      <c r="AN88" s="105" t="str">
        <f>IF(OR(ISBLANK(Term1_Early_Dismissal_6[[#This Row],[Start]]),ISBLANK(Term1_Early_Dismissal_6[[#This Row],[End]])),"",(Term1_Early_Dismissal_6[[#This Row],[End]]-Term1_Early_Dismissal_6[[#This Row],[Start]])*1440)</f>
        <v/>
      </c>
      <c r="AO88" s="105" t="str">
        <f>IF(ISBLANK(Term1_Early_Dismissal_6[[#This Row],[Activity]]),"",IF(_xlfn.XLOOKUP(Term1_Early_Dismissal_6[[#This Row],[Activity]],Types_of_Activity[Type of Activity],Types_of_Activity[Classification])=1,Term1_Early_Dismissal_6[[#This Row],[Elapsed]],0))</f>
        <v/>
      </c>
      <c r="AP88" s="105" t="str">
        <f>IF(ISBLANK(Term1_Early_Dismissal_6[[#This Row],[Activity]]),"",IF(_xlfn.XLOOKUP(Term1_Early_Dismissal_6[[#This Row],[Activity]],Types_of_Activity[Type of Activity],Types_of_Activity[Classification])=2,Term1_Early_Dismissal_6[[#This Row],[Elapsed]],0))</f>
        <v/>
      </c>
    </row>
    <row r="89" spans="2:42" x14ac:dyDescent="0.3">
      <c r="B89" s="135"/>
      <c r="C89" s="135"/>
      <c r="D89" s="102"/>
      <c r="E89" s="105" t="str">
        <f>IF(OR(ISBLANK(Term1_Early_Dismissal_1[[#This Row],[Start]]),ISBLANK(Term1_Early_Dismissal_1[[#This Row],[End]])),"",(Term1_Early_Dismissal_1[[#This Row],[End]]-Term1_Early_Dismissal_1[[#This Row],[Start]])*1440)</f>
        <v/>
      </c>
      <c r="F89" s="105" t="str">
        <f>IF(ISBLANK(Term1_Early_Dismissal_1[[#This Row],[Activity]]),"",IF(_xlfn.XLOOKUP(Term1_Early_Dismissal_1[[#This Row],[Activity]],Types_of_Activity[Type of Activity],Types_of_Activity[Classification])=1,Term1_Early_Dismissal_1[[#This Row],[Elapsed]],0))</f>
        <v/>
      </c>
      <c r="G89" s="105" t="str">
        <f>IF(ISBLANK(Term1_Early_Dismissal_1[[#This Row],[Activity]]),"",IF(_xlfn.XLOOKUP(Term1_Early_Dismissal_1[[#This Row],[Activity]],Types_of_Activity[Type of Activity],Types_of_Activity[Classification])=2,Term1_Early_Dismissal_1[[#This Row],[Elapsed]],0))</f>
        <v/>
      </c>
      <c r="H89"/>
      <c r="I89" s="135"/>
      <c r="J89" s="135"/>
      <c r="K89" s="102"/>
      <c r="L89" s="105" t="str">
        <f>IF(OR(ISBLANK(Term1_Early_Dismissal_2[[#This Row],[Start]]),ISBLANK(Term1_Early_Dismissal_2[[#This Row],[End]])),"",(Term1_Early_Dismissal_2[[#This Row],[End]]-Term1_Early_Dismissal_2[[#This Row],[Start]])*1440)</f>
        <v/>
      </c>
      <c r="M89" s="105" t="str">
        <f>IF(ISBLANK(Term1_Early_Dismissal_2[[#This Row],[Activity]]),"",IF(_xlfn.XLOOKUP(Term1_Early_Dismissal_2[[#This Row],[Activity]],Types_of_Activity[Type of Activity],Types_of_Activity[Classification])=1,Term1_Early_Dismissal_2[[#This Row],[Elapsed]],0))</f>
        <v/>
      </c>
      <c r="N89" s="105" t="str">
        <f>IF(ISBLANK(Term1_Early_Dismissal_2[[#This Row],[Activity]]),"",IF(_xlfn.XLOOKUP(Term1_Early_Dismissal_2[[#This Row],[Activity]],Types_of_Activity[Type of Activity],Types_of_Activity[Classification])=2,Term1_Early_Dismissal_2[[#This Row],[Elapsed]],0))</f>
        <v/>
      </c>
      <c r="O89"/>
      <c r="P89" s="135"/>
      <c r="Q89" s="135"/>
      <c r="R89" s="102"/>
      <c r="S89" s="105" t="str">
        <f>IF(OR(ISBLANK(Term1_Early_Dismissal_3[[#This Row],[Start]]),ISBLANK(Term1_Early_Dismissal_3[[#This Row],[End]])),"",(Term1_Early_Dismissal_3[[#This Row],[End]]-Term1_Early_Dismissal_3[[#This Row],[Start]])*1440)</f>
        <v/>
      </c>
      <c r="T89" s="105" t="str">
        <f>IF(ISBLANK(Term1_Early_Dismissal_3[[#This Row],[Activity]]),"",IF(_xlfn.XLOOKUP(Term1_Early_Dismissal_3[[#This Row],[Activity]],Types_of_Activity[Type of Activity],Types_of_Activity[Classification])=1,Term1_Early_Dismissal_3[[#This Row],[Elapsed]],0))</f>
        <v/>
      </c>
      <c r="U89" s="105" t="str">
        <f>IF(ISBLANK(Term1_Early_Dismissal_3[[#This Row],[Activity]]),"",IF(_xlfn.XLOOKUP(Term1_Early_Dismissal_3[[#This Row],[Activity]],Types_of_Activity[Type of Activity],Types_of_Activity[Classification])=2,Term1_Early_Dismissal_3[[#This Row],[Elapsed]],0))</f>
        <v/>
      </c>
      <c r="W89" s="135"/>
      <c r="X89" s="135"/>
      <c r="Y89" s="102"/>
      <c r="Z89" s="105" t="str">
        <f>IF(OR(ISBLANK(Term1_Early_Dismissal_4[[#This Row],[Start]]),ISBLANK(Term1_Early_Dismissal_4[[#This Row],[End]])),"",(Term1_Early_Dismissal_4[[#This Row],[End]]-Term1_Early_Dismissal_4[[#This Row],[Start]])*1440)</f>
        <v/>
      </c>
      <c r="AA89" s="105" t="str">
        <f>IF(ISBLANK(Term1_Early_Dismissal_4[[#This Row],[Activity]]),"",IF(_xlfn.XLOOKUP(Term1_Early_Dismissal_4[[#This Row],[Activity]],Types_of_Activity[Type of Activity],Types_of_Activity[Classification])=1,Term1_Early_Dismissal_4[[#This Row],[Elapsed]],0))</f>
        <v/>
      </c>
      <c r="AB89" s="105" t="str">
        <f>IF(ISBLANK(Term1_Early_Dismissal_4[[#This Row],[Activity]]),"",IF(_xlfn.XLOOKUP(Term1_Early_Dismissal_4[[#This Row],[Activity]],Types_of_Activity[Type of Activity],Types_of_Activity[Classification])=2,Term1_Early_Dismissal_4[[#This Row],[Elapsed]],0))</f>
        <v/>
      </c>
      <c r="AD89" s="135"/>
      <c r="AE89" s="135"/>
      <c r="AF89" s="102"/>
      <c r="AG89" s="105" t="str">
        <f>IF(OR(ISBLANK(Term1_Early_Dismissal_5[[#This Row],[Start]]),ISBLANK(Term1_Early_Dismissal_5[[#This Row],[End]])),"",(Term1_Early_Dismissal_5[[#This Row],[End]]-Term1_Early_Dismissal_5[[#This Row],[Start]])*1440)</f>
        <v/>
      </c>
      <c r="AH89" s="105" t="str">
        <f>IF(ISBLANK(Term1_Early_Dismissal_5[[#This Row],[Activity]]),"",IF(_xlfn.XLOOKUP(Term1_Early_Dismissal_5[[#This Row],[Activity]],Types_of_Activity[Type of Activity],Types_of_Activity[Classification])=1,Term1_Early_Dismissal_5[[#This Row],[Elapsed]],0))</f>
        <v/>
      </c>
      <c r="AI89" s="105" t="str">
        <f>IF(ISBLANK(Term1_Early_Dismissal_5[[#This Row],[Activity]]),"",IF(_xlfn.XLOOKUP(Term1_Early_Dismissal_5[[#This Row],[Activity]],Types_of_Activity[Type of Activity],Types_of_Activity[Classification])=2,Term1_Early_Dismissal_5[[#This Row],[Elapsed]],0))</f>
        <v/>
      </c>
      <c r="AK89" s="135"/>
      <c r="AL89" s="135"/>
      <c r="AM89" s="102"/>
      <c r="AN89" s="105" t="str">
        <f>IF(OR(ISBLANK(Term1_Early_Dismissal_6[[#This Row],[Start]]),ISBLANK(Term1_Early_Dismissal_6[[#This Row],[End]])),"",(Term1_Early_Dismissal_6[[#This Row],[End]]-Term1_Early_Dismissal_6[[#This Row],[Start]])*1440)</f>
        <v/>
      </c>
      <c r="AO89" s="105" t="str">
        <f>IF(ISBLANK(Term1_Early_Dismissal_6[[#This Row],[Activity]]),"",IF(_xlfn.XLOOKUP(Term1_Early_Dismissal_6[[#This Row],[Activity]],Types_of_Activity[Type of Activity],Types_of_Activity[Classification])=1,Term1_Early_Dismissal_6[[#This Row],[Elapsed]],0))</f>
        <v/>
      </c>
      <c r="AP89" s="105" t="str">
        <f>IF(ISBLANK(Term1_Early_Dismissal_6[[#This Row],[Activity]]),"",IF(_xlfn.XLOOKUP(Term1_Early_Dismissal_6[[#This Row],[Activity]],Types_of_Activity[Type of Activity],Types_of_Activity[Classification])=2,Term1_Early_Dismissal_6[[#This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6" x14ac:dyDescent="0.55000000000000004">
      <c r="B97" s="104" t="s">
        <v>25</v>
      </c>
      <c r="F97" s="105"/>
      <c r="G97" s="105"/>
      <c r="H97"/>
      <c r="I97" s="104" t="s">
        <v>26</v>
      </c>
      <c r="M97" s="105"/>
      <c r="N97" s="105"/>
      <c r="O97"/>
      <c r="P97" s="104" t="s">
        <v>27</v>
      </c>
      <c r="T97" s="105"/>
      <c r="U97" s="105"/>
    </row>
    <row r="98" spans="2:21" ht="28.8" x14ac:dyDescent="0.3">
      <c r="B98" s="119" t="s">
        <v>16</v>
      </c>
      <c r="C98" s="119" t="s">
        <v>17</v>
      </c>
      <c r="D98" s="119" t="s">
        <v>19</v>
      </c>
      <c r="E98" s="119" t="s">
        <v>18</v>
      </c>
      <c r="F98" s="119" t="s">
        <v>20</v>
      </c>
      <c r="G98" s="120" t="s">
        <v>4075</v>
      </c>
      <c r="H98"/>
      <c r="I98" s="119" t="s">
        <v>16</v>
      </c>
      <c r="J98" s="119" t="s">
        <v>17</v>
      </c>
      <c r="K98" s="119" t="s">
        <v>19</v>
      </c>
      <c r="L98" s="119" t="s">
        <v>18</v>
      </c>
      <c r="M98" s="119" t="s">
        <v>20</v>
      </c>
      <c r="N98" s="120" t="s">
        <v>4075</v>
      </c>
      <c r="O98"/>
      <c r="P98" s="119" t="s">
        <v>16</v>
      </c>
      <c r="Q98" s="119" t="s">
        <v>17</v>
      </c>
      <c r="R98" s="119" t="s">
        <v>19</v>
      </c>
      <c r="S98" s="119" t="s">
        <v>18</v>
      </c>
      <c r="T98" s="119" t="s">
        <v>20</v>
      </c>
      <c r="U98" s="120" t="s">
        <v>4075</v>
      </c>
    </row>
    <row r="99" spans="2:21" x14ac:dyDescent="0.3">
      <c r="B99" s="135"/>
      <c r="C99" s="135"/>
      <c r="D99" s="102"/>
      <c r="E99" s="105" t="str">
        <f>IF(OR(ISBLANK(Term1_Special_Day_1[[#This Row],[Start]]),ISBLANK(Term1_Special_Day_1[[#This Row],[End]])),"",(Term1_Special_Day_1[[#This Row],[End]]-Term1_Special_Day_1[[#This Row],[Start]])*1440)</f>
        <v/>
      </c>
      <c r="F99" s="105" t="str">
        <f>IF(ISBLANK(Term1_Special_Day_1[[#This Row],[Activity]]),"",IF(_xlfn.XLOOKUP(Term1_Special_Day_1[[#This Row],[Activity]],Types_of_Activity[Type of Activity],Types_of_Activity[Classification])=1,Term1_Special_Day_1[[#This Row],[Elapsed]],0))</f>
        <v/>
      </c>
      <c r="G99" s="105" t="str">
        <f>IF(ISBLANK(Term1_Special_Day_1[[#This Row],[Activity]]),"",IF(_xlfn.XLOOKUP(Term1_Special_Day_1[[#This Row],[Activity]],Types_of_Activity[Type of Activity],Types_of_Activity[Classification])=2,Term1_Special_Day_1[[#This Row],[Elapsed]],0))</f>
        <v/>
      </c>
      <c r="H99"/>
      <c r="I99" s="135"/>
      <c r="J99" s="135"/>
      <c r="K99" s="102"/>
      <c r="L99" s="105" t="str">
        <f>IF(OR(ISBLANK(Term1_Special_Day_2[[#This Row],[Start]]),ISBLANK(Term1_Special_Day_2[[#This Row],[End]])),"",(Term1_Special_Day_2[[#This Row],[End]]-Term1_Special_Day_2[[#This Row],[Start]])*1440)</f>
        <v/>
      </c>
      <c r="M99" s="105" t="str">
        <f>IF(ISBLANK(Term1_Special_Day_2[[#This Row],[Activity]]),"",IF(_xlfn.XLOOKUP(Term1_Special_Day_2[[#This Row],[Activity]],Types_of_Activity[Type of Activity],Types_of_Activity[Classification])=1,Term1_Special_Day_2[[#This Row],[Elapsed]],0))</f>
        <v/>
      </c>
      <c r="N99" s="105" t="str">
        <f>IF(ISBLANK(Term1_Special_Day_2[[#This Row],[Activity]]),"",IF(_xlfn.XLOOKUP(Term1_Special_Day_2[[#This Row],[Activity]],Types_of_Activity[Type of Activity],Types_of_Activity[Classification])=2,Term1_Special_Day_2[[#This Row],[Elapsed]],0))</f>
        <v/>
      </c>
      <c r="O99"/>
      <c r="P99" s="135"/>
      <c r="Q99" s="135"/>
      <c r="R99" s="102"/>
      <c r="S99" s="105" t="str">
        <f>IF(OR(ISBLANK(Term1_Special_Day_3[[#This Row],[Start]]),ISBLANK(Term1_Special_Day_3[[#This Row],[End]])),"",(Term1_Special_Day_3[[#This Row],[End]]-Term1_Special_Day_3[[#This Row],[Start]])*1440)</f>
        <v/>
      </c>
      <c r="T99" s="105" t="str">
        <f>IF(ISBLANK(Term1_Special_Day_3[[#This Row],[Activity]]),"",IF(_xlfn.XLOOKUP(Term1_Special_Day_3[[#This Row],[Activity]],Types_of_Activity[Type of Activity],Types_of_Activity[Classification])=1,Term1_Special_Day_3[[#This Row],[Elapsed]],0))</f>
        <v/>
      </c>
      <c r="U99" s="105" t="str">
        <f>IF(ISBLANK(Term1_Special_Day_3[[#This Row],[Activity]]),"",IF(_xlfn.XLOOKUP(Term1_Special_Day_3[[#This Row],[Activity]],Types_of_Activity[Type of Activity],Types_of_Activity[Classification])=2,Term1_Special_Day_3[[#This Row],[Elapsed]],0))</f>
        <v/>
      </c>
    </row>
    <row r="100" spans="2:21" x14ac:dyDescent="0.3">
      <c r="B100" s="135"/>
      <c r="C100" s="135"/>
      <c r="D100" s="102"/>
      <c r="E100" s="105" t="str">
        <f>IF(OR(ISBLANK(Term1_Special_Day_1[[#This Row],[Start]]),ISBLANK(Term1_Special_Day_1[[#This Row],[End]])),"",(Term1_Special_Day_1[[#This Row],[End]]-Term1_Special_Day_1[[#This Row],[Start]])*1440)</f>
        <v/>
      </c>
      <c r="F100" s="105" t="str">
        <f>IF(ISBLANK(Term1_Special_Day_1[[#This Row],[Activity]]),"",IF(_xlfn.XLOOKUP(Term1_Special_Day_1[[#This Row],[Activity]],Types_of_Activity[Type of Activity],Types_of_Activity[Classification])=1,Term1_Special_Day_1[[#This Row],[Elapsed]],0))</f>
        <v/>
      </c>
      <c r="G100" s="105" t="str">
        <f>IF(ISBLANK(Term1_Special_Day_1[[#This Row],[Activity]]),"",IF(_xlfn.XLOOKUP(Term1_Special_Day_1[[#This Row],[Activity]],Types_of_Activity[Type of Activity],Types_of_Activity[Classification])=2,Term1_Special_Day_1[[#This Row],[Elapsed]],0))</f>
        <v/>
      </c>
      <c r="H100"/>
      <c r="I100" s="135"/>
      <c r="J100" s="135"/>
      <c r="K100" s="102"/>
      <c r="L100" s="105" t="str">
        <f>IF(OR(ISBLANK(Term1_Special_Day_2[[#This Row],[Start]]),ISBLANK(Term1_Special_Day_2[[#This Row],[End]])),"",(Term1_Special_Day_2[[#This Row],[End]]-Term1_Special_Day_2[[#This Row],[Start]])*1440)</f>
        <v/>
      </c>
      <c r="M100" s="105" t="str">
        <f>IF(ISBLANK(Term1_Special_Day_2[[#This Row],[Activity]]),"",IF(_xlfn.XLOOKUP(Term1_Special_Day_2[[#This Row],[Activity]],Types_of_Activity[Type of Activity],Types_of_Activity[Classification])=1,Term1_Special_Day_2[[#This Row],[Elapsed]],0))</f>
        <v/>
      </c>
      <c r="N100" s="105" t="str">
        <f>IF(ISBLANK(Term1_Special_Day_2[[#This Row],[Activity]]),"",IF(_xlfn.XLOOKUP(Term1_Special_Day_2[[#This Row],[Activity]],Types_of_Activity[Type of Activity],Types_of_Activity[Classification])=2,Term1_Special_Day_2[[#This Row],[Elapsed]],0))</f>
        <v/>
      </c>
      <c r="O100"/>
      <c r="P100" s="135"/>
      <c r="Q100" s="135"/>
      <c r="R100" s="102"/>
      <c r="S100" s="105" t="str">
        <f>IF(OR(ISBLANK(Term1_Special_Day_3[[#This Row],[Start]]),ISBLANK(Term1_Special_Day_3[[#This Row],[End]])),"",(Term1_Special_Day_3[[#This Row],[End]]-Term1_Special_Day_3[[#This Row],[Start]])*1440)</f>
        <v/>
      </c>
      <c r="T100" s="105" t="str">
        <f>IF(ISBLANK(Term1_Special_Day_3[[#This Row],[Activity]]),"",IF(_xlfn.XLOOKUP(Term1_Special_Day_3[[#This Row],[Activity]],Types_of_Activity[Type of Activity],Types_of_Activity[Classification])=1,Term1_Special_Day_3[[#This Row],[Elapsed]],0))</f>
        <v/>
      </c>
      <c r="U100" s="105" t="str">
        <f>IF(ISBLANK(Term1_Special_Day_3[[#This Row],[Activity]]),"",IF(_xlfn.XLOOKUP(Term1_Special_Day_3[[#This Row],[Activity]],Types_of_Activity[Type of Activity],Types_of_Activity[Classification])=2,Term1_Special_Day_3[[#This Row],[Elapsed]],0))</f>
        <v/>
      </c>
    </row>
    <row r="101" spans="2:21" x14ac:dyDescent="0.3">
      <c r="B101" s="135"/>
      <c r="C101" s="135"/>
      <c r="D101" s="102"/>
      <c r="E101" s="105" t="str">
        <f>IF(OR(ISBLANK(Term1_Special_Day_1[[#This Row],[Start]]),ISBLANK(Term1_Special_Day_1[[#This Row],[End]])),"",(Term1_Special_Day_1[[#This Row],[End]]-Term1_Special_Day_1[[#This Row],[Start]])*1440)</f>
        <v/>
      </c>
      <c r="F101" s="105" t="str">
        <f>IF(ISBLANK(Term1_Special_Day_1[[#This Row],[Activity]]),"",IF(_xlfn.XLOOKUP(Term1_Special_Day_1[[#This Row],[Activity]],Types_of_Activity[Type of Activity],Types_of_Activity[Classification])=1,Term1_Special_Day_1[[#This Row],[Elapsed]],0))</f>
        <v/>
      </c>
      <c r="G101" s="105" t="str">
        <f>IF(ISBLANK(Term1_Special_Day_1[[#This Row],[Activity]]),"",IF(_xlfn.XLOOKUP(Term1_Special_Day_1[[#This Row],[Activity]],Types_of_Activity[Type of Activity],Types_of_Activity[Classification])=2,Term1_Special_Day_1[[#This Row],[Elapsed]],0))</f>
        <v/>
      </c>
      <c r="H101"/>
      <c r="I101" s="135"/>
      <c r="J101" s="135"/>
      <c r="K101" s="102"/>
      <c r="L101" s="105" t="str">
        <f>IF(OR(ISBLANK(Term1_Special_Day_2[[#This Row],[Start]]),ISBLANK(Term1_Special_Day_2[[#This Row],[End]])),"",(Term1_Special_Day_2[[#This Row],[End]]-Term1_Special_Day_2[[#This Row],[Start]])*1440)</f>
        <v/>
      </c>
      <c r="M101" s="105" t="str">
        <f>IF(ISBLANK(Term1_Special_Day_2[[#This Row],[Activity]]),"",IF(_xlfn.XLOOKUP(Term1_Special_Day_2[[#This Row],[Activity]],Types_of_Activity[Type of Activity],Types_of_Activity[Classification])=1,Term1_Special_Day_2[[#This Row],[Elapsed]],0))</f>
        <v/>
      </c>
      <c r="N101" s="105" t="str">
        <f>IF(ISBLANK(Term1_Special_Day_2[[#This Row],[Activity]]),"",IF(_xlfn.XLOOKUP(Term1_Special_Day_2[[#This Row],[Activity]],Types_of_Activity[Type of Activity],Types_of_Activity[Classification])=2,Term1_Special_Day_2[[#This Row],[Elapsed]],0))</f>
        <v/>
      </c>
      <c r="O101"/>
      <c r="P101" s="135"/>
      <c r="Q101" s="135"/>
      <c r="R101" s="102"/>
      <c r="S101" s="105" t="str">
        <f>IF(OR(ISBLANK(Term1_Special_Day_3[[#This Row],[Start]]),ISBLANK(Term1_Special_Day_3[[#This Row],[End]])),"",(Term1_Special_Day_3[[#This Row],[End]]-Term1_Special_Day_3[[#This Row],[Start]])*1440)</f>
        <v/>
      </c>
      <c r="T101" s="105" t="str">
        <f>IF(ISBLANK(Term1_Special_Day_3[[#This Row],[Activity]]),"",IF(_xlfn.XLOOKUP(Term1_Special_Day_3[[#This Row],[Activity]],Types_of_Activity[Type of Activity],Types_of_Activity[Classification])=1,Term1_Special_Day_3[[#This Row],[Elapsed]],0))</f>
        <v/>
      </c>
      <c r="U101" s="105" t="str">
        <f>IF(ISBLANK(Term1_Special_Day_3[[#This Row],[Activity]]),"",IF(_xlfn.XLOOKUP(Term1_Special_Day_3[[#This Row],[Activity]],Types_of_Activity[Type of Activity],Types_of_Activity[Classification])=2,Term1_Special_Day_3[[#This Row],[Elapsed]],0))</f>
        <v/>
      </c>
    </row>
    <row r="102" spans="2:21" x14ac:dyDescent="0.3">
      <c r="B102" s="135"/>
      <c r="C102" s="135"/>
      <c r="D102" s="102"/>
      <c r="E102" s="105" t="str">
        <f>IF(OR(ISBLANK(Term1_Special_Day_1[[#This Row],[Start]]),ISBLANK(Term1_Special_Day_1[[#This Row],[End]])),"",(Term1_Special_Day_1[[#This Row],[End]]-Term1_Special_Day_1[[#This Row],[Start]])*1440)</f>
        <v/>
      </c>
      <c r="F102" s="105" t="str">
        <f>IF(ISBLANK(Term1_Special_Day_1[[#This Row],[Activity]]),"",IF(_xlfn.XLOOKUP(Term1_Special_Day_1[[#This Row],[Activity]],Types_of_Activity[Type of Activity],Types_of_Activity[Classification])=1,Term1_Special_Day_1[[#This Row],[Elapsed]],0))</f>
        <v/>
      </c>
      <c r="G102" s="105" t="str">
        <f>IF(ISBLANK(Term1_Special_Day_1[[#This Row],[Activity]]),"",IF(_xlfn.XLOOKUP(Term1_Special_Day_1[[#This Row],[Activity]],Types_of_Activity[Type of Activity],Types_of_Activity[Classification])=2,Term1_Special_Day_1[[#This Row],[Elapsed]],0))</f>
        <v/>
      </c>
      <c r="H102"/>
      <c r="I102" s="135"/>
      <c r="J102" s="135"/>
      <c r="K102" s="102"/>
      <c r="L102" s="105" t="str">
        <f>IF(OR(ISBLANK(Term1_Special_Day_2[[#This Row],[Start]]),ISBLANK(Term1_Special_Day_2[[#This Row],[End]])),"",(Term1_Special_Day_2[[#This Row],[End]]-Term1_Special_Day_2[[#This Row],[Start]])*1440)</f>
        <v/>
      </c>
      <c r="M102" s="105" t="str">
        <f>IF(ISBLANK(Term1_Special_Day_2[[#This Row],[Activity]]),"",IF(_xlfn.XLOOKUP(Term1_Special_Day_2[[#This Row],[Activity]],Types_of_Activity[Type of Activity],Types_of_Activity[Classification])=1,Term1_Special_Day_2[[#This Row],[Elapsed]],0))</f>
        <v/>
      </c>
      <c r="N102" s="105" t="str">
        <f>IF(ISBLANK(Term1_Special_Day_2[[#This Row],[Activity]]),"",IF(_xlfn.XLOOKUP(Term1_Special_Day_2[[#This Row],[Activity]],Types_of_Activity[Type of Activity],Types_of_Activity[Classification])=2,Term1_Special_Day_2[[#This Row],[Elapsed]],0))</f>
        <v/>
      </c>
      <c r="O102"/>
      <c r="P102" s="135"/>
      <c r="Q102" s="135"/>
      <c r="R102" s="102"/>
      <c r="S102" s="105" t="str">
        <f>IF(OR(ISBLANK(Term1_Special_Day_3[[#This Row],[Start]]),ISBLANK(Term1_Special_Day_3[[#This Row],[End]])),"",(Term1_Special_Day_3[[#This Row],[End]]-Term1_Special_Day_3[[#This Row],[Start]])*1440)</f>
        <v/>
      </c>
      <c r="T102" s="105" t="str">
        <f>IF(ISBLANK(Term1_Special_Day_3[[#This Row],[Activity]]),"",IF(_xlfn.XLOOKUP(Term1_Special_Day_3[[#This Row],[Activity]],Types_of_Activity[Type of Activity],Types_of_Activity[Classification])=1,Term1_Special_Day_3[[#This Row],[Elapsed]],0))</f>
        <v/>
      </c>
      <c r="U102" s="105" t="str">
        <f>IF(ISBLANK(Term1_Special_Day_3[[#This Row],[Activity]]),"",IF(_xlfn.XLOOKUP(Term1_Special_Day_3[[#This Row],[Activity]],Types_of_Activity[Type of Activity],Types_of_Activity[Classification])=2,Term1_Special_Day_3[[#This Row],[Elapsed]],0))</f>
        <v/>
      </c>
    </row>
    <row r="103" spans="2:21" x14ac:dyDescent="0.3">
      <c r="B103" s="135"/>
      <c r="C103" s="135"/>
      <c r="D103" s="102"/>
      <c r="E103" s="105" t="str">
        <f>IF(OR(ISBLANK(Term1_Special_Day_1[[#This Row],[Start]]),ISBLANK(Term1_Special_Day_1[[#This Row],[End]])),"",(Term1_Special_Day_1[[#This Row],[End]]-Term1_Special_Day_1[[#This Row],[Start]])*1440)</f>
        <v/>
      </c>
      <c r="F103" s="105" t="str">
        <f>IF(ISBLANK(Term1_Special_Day_1[[#This Row],[Activity]]),"",IF(_xlfn.XLOOKUP(Term1_Special_Day_1[[#This Row],[Activity]],Types_of_Activity[Type of Activity],Types_of_Activity[Classification])=1,Term1_Special_Day_1[[#This Row],[Elapsed]],0))</f>
        <v/>
      </c>
      <c r="G103" s="105" t="str">
        <f>IF(ISBLANK(Term1_Special_Day_1[[#This Row],[Activity]]),"",IF(_xlfn.XLOOKUP(Term1_Special_Day_1[[#This Row],[Activity]],Types_of_Activity[Type of Activity],Types_of_Activity[Classification])=2,Term1_Special_Day_1[[#This Row],[Elapsed]],0))</f>
        <v/>
      </c>
      <c r="H103"/>
      <c r="I103" s="135"/>
      <c r="J103" s="135"/>
      <c r="K103" s="102"/>
      <c r="L103" s="105" t="str">
        <f>IF(OR(ISBLANK(Term1_Special_Day_2[[#This Row],[Start]]),ISBLANK(Term1_Special_Day_2[[#This Row],[End]])),"",(Term1_Special_Day_2[[#This Row],[End]]-Term1_Special_Day_2[[#This Row],[Start]])*1440)</f>
        <v/>
      </c>
      <c r="M103" s="105" t="str">
        <f>IF(ISBLANK(Term1_Special_Day_2[[#This Row],[Activity]]),"",IF(_xlfn.XLOOKUP(Term1_Special_Day_2[[#This Row],[Activity]],Types_of_Activity[Type of Activity],Types_of_Activity[Classification])=1,Term1_Special_Day_2[[#This Row],[Elapsed]],0))</f>
        <v/>
      </c>
      <c r="N103" s="105" t="str">
        <f>IF(ISBLANK(Term1_Special_Day_2[[#This Row],[Activity]]),"",IF(_xlfn.XLOOKUP(Term1_Special_Day_2[[#This Row],[Activity]],Types_of_Activity[Type of Activity],Types_of_Activity[Classification])=2,Term1_Special_Day_2[[#This Row],[Elapsed]],0))</f>
        <v/>
      </c>
      <c r="O103"/>
      <c r="P103" s="135"/>
      <c r="Q103" s="135"/>
      <c r="R103" s="102"/>
      <c r="S103" s="105" t="str">
        <f>IF(OR(ISBLANK(Term1_Special_Day_3[[#This Row],[Start]]),ISBLANK(Term1_Special_Day_3[[#This Row],[End]])),"",(Term1_Special_Day_3[[#This Row],[End]]-Term1_Special_Day_3[[#This Row],[Start]])*1440)</f>
        <v/>
      </c>
      <c r="T103" s="105" t="str">
        <f>IF(ISBLANK(Term1_Special_Day_3[[#This Row],[Activity]]),"",IF(_xlfn.XLOOKUP(Term1_Special_Day_3[[#This Row],[Activity]],Types_of_Activity[Type of Activity],Types_of_Activity[Classification])=1,Term1_Special_Day_3[[#This Row],[Elapsed]],0))</f>
        <v/>
      </c>
      <c r="U103" s="105" t="str">
        <f>IF(ISBLANK(Term1_Special_Day_3[[#This Row],[Activity]]),"",IF(_xlfn.XLOOKUP(Term1_Special_Day_3[[#This Row],[Activity]],Types_of_Activity[Type of Activity],Types_of_Activity[Classification])=2,Term1_Special_Day_3[[#This Row],[Elapsed]],0))</f>
        <v/>
      </c>
    </row>
    <row r="104" spans="2:21" x14ac:dyDescent="0.3">
      <c r="B104" s="135"/>
      <c r="C104" s="135"/>
      <c r="D104" s="102"/>
      <c r="E104" s="105" t="str">
        <f>IF(OR(ISBLANK(Term1_Special_Day_1[[#This Row],[Start]]),ISBLANK(Term1_Special_Day_1[[#This Row],[End]])),"",(Term1_Special_Day_1[[#This Row],[End]]-Term1_Special_Day_1[[#This Row],[Start]])*1440)</f>
        <v/>
      </c>
      <c r="F104" s="105" t="str">
        <f>IF(ISBLANK(Term1_Special_Day_1[[#This Row],[Activity]]),"",IF(_xlfn.XLOOKUP(Term1_Special_Day_1[[#This Row],[Activity]],Types_of_Activity[Type of Activity],Types_of_Activity[Classification])=1,Term1_Special_Day_1[[#This Row],[Elapsed]],0))</f>
        <v/>
      </c>
      <c r="G104" s="105" t="str">
        <f>IF(ISBLANK(Term1_Special_Day_1[[#This Row],[Activity]]),"",IF(_xlfn.XLOOKUP(Term1_Special_Day_1[[#This Row],[Activity]],Types_of_Activity[Type of Activity],Types_of_Activity[Classification])=2,Term1_Special_Day_1[[#This Row],[Elapsed]],0))</f>
        <v/>
      </c>
      <c r="H104"/>
      <c r="I104" s="135"/>
      <c r="J104" s="135"/>
      <c r="K104" s="102"/>
      <c r="L104" s="105" t="str">
        <f>IF(OR(ISBLANK(Term1_Special_Day_2[[#This Row],[Start]]),ISBLANK(Term1_Special_Day_2[[#This Row],[End]])),"",(Term1_Special_Day_2[[#This Row],[End]]-Term1_Special_Day_2[[#This Row],[Start]])*1440)</f>
        <v/>
      </c>
      <c r="M104" s="105" t="str">
        <f>IF(ISBLANK(Term1_Special_Day_2[[#This Row],[Activity]]),"",IF(_xlfn.XLOOKUP(Term1_Special_Day_2[[#This Row],[Activity]],Types_of_Activity[Type of Activity],Types_of_Activity[Classification])=1,Term1_Special_Day_2[[#This Row],[Elapsed]],0))</f>
        <v/>
      </c>
      <c r="N104" s="105" t="str">
        <f>IF(ISBLANK(Term1_Special_Day_2[[#This Row],[Activity]]),"",IF(_xlfn.XLOOKUP(Term1_Special_Day_2[[#This Row],[Activity]],Types_of_Activity[Type of Activity],Types_of_Activity[Classification])=2,Term1_Special_Day_2[[#This Row],[Elapsed]],0))</f>
        <v/>
      </c>
      <c r="O104"/>
      <c r="P104" s="135"/>
      <c r="Q104" s="135"/>
      <c r="R104" s="102"/>
      <c r="S104" s="105" t="str">
        <f>IF(OR(ISBLANK(Term1_Special_Day_3[[#This Row],[Start]]),ISBLANK(Term1_Special_Day_3[[#This Row],[End]])),"",(Term1_Special_Day_3[[#This Row],[End]]-Term1_Special_Day_3[[#This Row],[Start]])*1440)</f>
        <v/>
      </c>
      <c r="T104" s="105" t="str">
        <f>IF(ISBLANK(Term1_Special_Day_3[[#This Row],[Activity]]),"",IF(_xlfn.XLOOKUP(Term1_Special_Day_3[[#This Row],[Activity]],Types_of_Activity[Type of Activity],Types_of_Activity[Classification])=1,Term1_Special_Day_3[[#This Row],[Elapsed]],0))</f>
        <v/>
      </c>
      <c r="U104" s="105" t="str">
        <f>IF(ISBLANK(Term1_Special_Day_3[[#This Row],[Activity]]),"",IF(_xlfn.XLOOKUP(Term1_Special_Day_3[[#This Row],[Activity]],Types_of_Activity[Type of Activity],Types_of_Activity[Classification])=2,Term1_Special_Day_3[[#This Row],[Elapsed]],0))</f>
        <v/>
      </c>
    </row>
    <row r="105" spans="2:21" x14ac:dyDescent="0.3">
      <c r="B105" s="135"/>
      <c r="C105" s="135"/>
      <c r="D105" s="102"/>
      <c r="E105" s="105" t="str">
        <f>IF(OR(ISBLANK(Term1_Special_Day_1[[#This Row],[Start]]),ISBLANK(Term1_Special_Day_1[[#This Row],[End]])),"",(Term1_Special_Day_1[[#This Row],[End]]-Term1_Special_Day_1[[#This Row],[Start]])*1440)</f>
        <v/>
      </c>
      <c r="F105" s="105" t="str">
        <f>IF(ISBLANK(Term1_Special_Day_1[[#This Row],[Activity]]),"",IF(_xlfn.XLOOKUP(Term1_Special_Day_1[[#This Row],[Activity]],Types_of_Activity[Type of Activity],Types_of_Activity[Classification])=1,Term1_Special_Day_1[[#This Row],[Elapsed]],0))</f>
        <v/>
      </c>
      <c r="G105" s="105" t="str">
        <f>IF(ISBLANK(Term1_Special_Day_1[[#This Row],[Activity]]),"",IF(_xlfn.XLOOKUP(Term1_Special_Day_1[[#This Row],[Activity]],Types_of_Activity[Type of Activity],Types_of_Activity[Classification])=2,Term1_Special_Day_1[[#This Row],[Elapsed]],0))</f>
        <v/>
      </c>
      <c r="H105"/>
      <c r="I105" s="135"/>
      <c r="J105" s="135"/>
      <c r="K105" s="102"/>
      <c r="L105" s="105" t="str">
        <f>IF(OR(ISBLANK(Term1_Special_Day_2[[#This Row],[Start]]),ISBLANK(Term1_Special_Day_2[[#This Row],[End]])),"",(Term1_Special_Day_2[[#This Row],[End]]-Term1_Special_Day_2[[#This Row],[Start]])*1440)</f>
        <v/>
      </c>
      <c r="M105" s="105" t="str">
        <f>IF(ISBLANK(Term1_Special_Day_2[[#This Row],[Activity]]),"",IF(_xlfn.XLOOKUP(Term1_Special_Day_2[[#This Row],[Activity]],Types_of_Activity[Type of Activity],Types_of_Activity[Classification])=1,Term1_Special_Day_2[[#This Row],[Elapsed]],0))</f>
        <v/>
      </c>
      <c r="N105" s="105" t="str">
        <f>IF(ISBLANK(Term1_Special_Day_2[[#This Row],[Activity]]),"",IF(_xlfn.XLOOKUP(Term1_Special_Day_2[[#This Row],[Activity]],Types_of_Activity[Type of Activity],Types_of_Activity[Classification])=2,Term1_Special_Day_2[[#This Row],[Elapsed]],0))</f>
        <v/>
      </c>
      <c r="O105"/>
      <c r="P105" s="135"/>
      <c r="Q105" s="135"/>
      <c r="R105" s="102"/>
      <c r="S105" s="105" t="str">
        <f>IF(OR(ISBLANK(Term1_Special_Day_3[[#This Row],[Start]]),ISBLANK(Term1_Special_Day_3[[#This Row],[End]])),"",(Term1_Special_Day_3[[#This Row],[End]]-Term1_Special_Day_3[[#This Row],[Start]])*1440)</f>
        <v/>
      </c>
      <c r="T105" s="105" t="str">
        <f>IF(ISBLANK(Term1_Special_Day_3[[#This Row],[Activity]]),"",IF(_xlfn.XLOOKUP(Term1_Special_Day_3[[#This Row],[Activity]],Types_of_Activity[Type of Activity],Types_of_Activity[Classification])=1,Term1_Special_Day_3[[#This Row],[Elapsed]],0))</f>
        <v/>
      </c>
      <c r="U105" s="105" t="str">
        <f>IF(ISBLANK(Term1_Special_Day_3[[#This Row],[Activity]]),"",IF(_xlfn.XLOOKUP(Term1_Special_Day_3[[#This Row],[Activity]],Types_of_Activity[Type of Activity],Types_of_Activity[Classification])=2,Term1_Special_Day_3[[#This Row],[Elapsed]],0))</f>
        <v/>
      </c>
    </row>
    <row r="106" spans="2:21" x14ac:dyDescent="0.3">
      <c r="B106" s="135"/>
      <c r="C106" s="135"/>
      <c r="D106" s="102"/>
      <c r="E106" s="105" t="str">
        <f>IF(OR(ISBLANK(Term1_Special_Day_1[[#This Row],[Start]]),ISBLANK(Term1_Special_Day_1[[#This Row],[End]])),"",(Term1_Special_Day_1[[#This Row],[End]]-Term1_Special_Day_1[[#This Row],[Start]])*1440)</f>
        <v/>
      </c>
      <c r="F106" s="105" t="str">
        <f>IF(ISBLANK(Term1_Special_Day_1[[#This Row],[Activity]]),"",IF(_xlfn.XLOOKUP(Term1_Special_Day_1[[#This Row],[Activity]],Types_of_Activity[Type of Activity],Types_of_Activity[Classification])=1,Term1_Special_Day_1[[#This Row],[Elapsed]],0))</f>
        <v/>
      </c>
      <c r="G106" s="105" t="str">
        <f>IF(ISBLANK(Term1_Special_Day_1[[#This Row],[Activity]]),"",IF(_xlfn.XLOOKUP(Term1_Special_Day_1[[#This Row],[Activity]],Types_of_Activity[Type of Activity],Types_of_Activity[Classification])=2,Term1_Special_Day_1[[#This Row],[Elapsed]],0))</f>
        <v/>
      </c>
      <c r="H106"/>
      <c r="I106" s="135"/>
      <c r="J106" s="135"/>
      <c r="K106" s="102"/>
      <c r="L106" s="105" t="str">
        <f>IF(OR(ISBLANK(Term1_Special_Day_2[[#This Row],[Start]]),ISBLANK(Term1_Special_Day_2[[#This Row],[End]])),"",(Term1_Special_Day_2[[#This Row],[End]]-Term1_Special_Day_2[[#This Row],[Start]])*1440)</f>
        <v/>
      </c>
      <c r="M106" s="105" t="str">
        <f>IF(ISBLANK(Term1_Special_Day_2[[#This Row],[Activity]]),"",IF(_xlfn.XLOOKUP(Term1_Special_Day_2[[#This Row],[Activity]],Types_of_Activity[Type of Activity],Types_of_Activity[Classification])=1,Term1_Special_Day_2[[#This Row],[Elapsed]],0))</f>
        <v/>
      </c>
      <c r="N106" s="105" t="str">
        <f>IF(ISBLANK(Term1_Special_Day_2[[#This Row],[Activity]]),"",IF(_xlfn.XLOOKUP(Term1_Special_Day_2[[#This Row],[Activity]],Types_of_Activity[Type of Activity],Types_of_Activity[Classification])=2,Term1_Special_Day_2[[#This Row],[Elapsed]],0))</f>
        <v/>
      </c>
      <c r="O106"/>
      <c r="P106" s="135"/>
      <c r="Q106" s="135"/>
      <c r="R106" s="102"/>
      <c r="S106" s="105" t="str">
        <f>IF(OR(ISBLANK(Term1_Special_Day_3[[#This Row],[Start]]),ISBLANK(Term1_Special_Day_3[[#This Row],[End]])),"",(Term1_Special_Day_3[[#This Row],[End]]-Term1_Special_Day_3[[#This Row],[Start]])*1440)</f>
        <v/>
      </c>
      <c r="T106" s="105" t="str">
        <f>IF(ISBLANK(Term1_Special_Day_3[[#This Row],[Activity]]),"",IF(_xlfn.XLOOKUP(Term1_Special_Day_3[[#This Row],[Activity]],Types_of_Activity[Type of Activity],Types_of_Activity[Classification])=1,Term1_Special_Day_3[[#This Row],[Elapsed]],0))</f>
        <v/>
      </c>
      <c r="U106" s="105" t="str">
        <f>IF(ISBLANK(Term1_Special_Day_3[[#This Row],[Activity]]),"",IF(_xlfn.XLOOKUP(Term1_Special_Day_3[[#This Row],[Activity]],Types_of_Activity[Type of Activity],Types_of_Activity[Classification])=2,Term1_Special_Day_3[[#This Row],[Elapsed]],0))</f>
        <v/>
      </c>
    </row>
    <row r="107" spans="2:21" x14ac:dyDescent="0.3">
      <c r="B107" s="135"/>
      <c r="C107" s="135"/>
      <c r="D107" s="102"/>
      <c r="E107" s="105" t="str">
        <f>IF(OR(ISBLANK(Term1_Special_Day_1[[#This Row],[Start]]),ISBLANK(Term1_Special_Day_1[[#This Row],[End]])),"",(Term1_Special_Day_1[[#This Row],[End]]-Term1_Special_Day_1[[#This Row],[Start]])*1440)</f>
        <v/>
      </c>
      <c r="F107" s="105" t="str">
        <f>IF(ISBLANK(Term1_Special_Day_1[[#This Row],[Activity]]),"",IF(_xlfn.XLOOKUP(Term1_Special_Day_1[[#This Row],[Activity]],Types_of_Activity[Type of Activity],Types_of_Activity[Classification])=1,Term1_Special_Day_1[[#This Row],[Elapsed]],0))</f>
        <v/>
      </c>
      <c r="G107" s="105" t="str">
        <f>IF(ISBLANK(Term1_Special_Day_1[[#This Row],[Activity]]),"",IF(_xlfn.XLOOKUP(Term1_Special_Day_1[[#This Row],[Activity]],Types_of_Activity[Type of Activity],Types_of_Activity[Classification])=2,Term1_Special_Day_1[[#This Row],[Elapsed]],0))</f>
        <v/>
      </c>
      <c r="H107"/>
      <c r="I107" s="135"/>
      <c r="J107" s="135"/>
      <c r="K107" s="102"/>
      <c r="L107" s="105" t="str">
        <f>IF(OR(ISBLANK(Term1_Special_Day_2[[#This Row],[Start]]),ISBLANK(Term1_Special_Day_2[[#This Row],[End]])),"",(Term1_Special_Day_2[[#This Row],[End]]-Term1_Special_Day_2[[#This Row],[Start]])*1440)</f>
        <v/>
      </c>
      <c r="M107" s="105" t="str">
        <f>IF(ISBLANK(Term1_Special_Day_2[[#This Row],[Activity]]),"",IF(_xlfn.XLOOKUP(Term1_Special_Day_2[[#This Row],[Activity]],Types_of_Activity[Type of Activity],Types_of_Activity[Classification])=1,Term1_Special_Day_2[[#This Row],[Elapsed]],0))</f>
        <v/>
      </c>
      <c r="N107" s="105" t="str">
        <f>IF(ISBLANK(Term1_Special_Day_2[[#This Row],[Activity]]),"",IF(_xlfn.XLOOKUP(Term1_Special_Day_2[[#This Row],[Activity]],Types_of_Activity[Type of Activity],Types_of_Activity[Classification])=2,Term1_Special_Day_2[[#This Row],[Elapsed]],0))</f>
        <v/>
      </c>
      <c r="O107"/>
      <c r="P107" s="135"/>
      <c r="Q107" s="135"/>
      <c r="R107" s="102"/>
      <c r="S107" s="105" t="str">
        <f>IF(OR(ISBLANK(Term1_Special_Day_3[[#This Row],[Start]]),ISBLANK(Term1_Special_Day_3[[#This Row],[End]])),"",(Term1_Special_Day_3[[#This Row],[End]]-Term1_Special_Day_3[[#This Row],[Start]])*1440)</f>
        <v/>
      </c>
      <c r="T107" s="105" t="str">
        <f>IF(ISBLANK(Term1_Special_Day_3[[#This Row],[Activity]]),"",IF(_xlfn.XLOOKUP(Term1_Special_Day_3[[#This Row],[Activity]],Types_of_Activity[Type of Activity],Types_of_Activity[Classification])=1,Term1_Special_Day_3[[#This Row],[Elapsed]],0))</f>
        <v/>
      </c>
      <c r="U107" s="105" t="str">
        <f>IF(ISBLANK(Term1_Special_Day_3[[#This Row],[Activity]]),"",IF(_xlfn.XLOOKUP(Term1_Special_Day_3[[#This Row],[Activity]],Types_of_Activity[Type of Activity],Types_of_Activity[Classification])=2,Term1_Special_Day_3[[#This Row],[Elapsed]],0))</f>
        <v/>
      </c>
    </row>
    <row r="108" spans="2:21" x14ac:dyDescent="0.3">
      <c r="B108" s="135"/>
      <c r="C108" s="135"/>
      <c r="D108" s="102"/>
      <c r="E108" s="105" t="str">
        <f>IF(OR(ISBLANK(Term1_Special_Day_1[[#This Row],[Start]]),ISBLANK(Term1_Special_Day_1[[#This Row],[End]])),"",(Term1_Special_Day_1[[#This Row],[End]]-Term1_Special_Day_1[[#This Row],[Start]])*1440)</f>
        <v/>
      </c>
      <c r="F108" s="105" t="str">
        <f>IF(ISBLANK(Term1_Special_Day_1[[#This Row],[Activity]]),"",IF(_xlfn.XLOOKUP(Term1_Special_Day_1[[#This Row],[Activity]],Types_of_Activity[Type of Activity],Types_of_Activity[Classification])=1,Term1_Special_Day_1[[#This Row],[Elapsed]],0))</f>
        <v/>
      </c>
      <c r="G108" s="105" t="str">
        <f>IF(ISBLANK(Term1_Special_Day_1[[#This Row],[Activity]]),"",IF(_xlfn.XLOOKUP(Term1_Special_Day_1[[#This Row],[Activity]],Types_of_Activity[Type of Activity],Types_of_Activity[Classification])=2,Term1_Special_Day_1[[#This Row],[Elapsed]],0))</f>
        <v/>
      </c>
      <c r="H108"/>
      <c r="I108" s="135"/>
      <c r="J108" s="135"/>
      <c r="K108" s="102"/>
      <c r="L108" s="105" t="str">
        <f>IF(OR(ISBLANK(Term1_Special_Day_2[[#This Row],[Start]]),ISBLANK(Term1_Special_Day_2[[#This Row],[End]])),"",(Term1_Special_Day_2[[#This Row],[End]]-Term1_Special_Day_2[[#This Row],[Start]])*1440)</f>
        <v/>
      </c>
      <c r="M108" s="105" t="str">
        <f>IF(ISBLANK(Term1_Special_Day_2[[#This Row],[Activity]]),"",IF(_xlfn.XLOOKUP(Term1_Special_Day_2[[#This Row],[Activity]],Types_of_Activity[Type of Activity],Types_of_Activity[Classification])=1,Term1_Special_Day_2[[#This Row],[Elapsed]],0))</f>
        <v/>
      </c>
      <c r="N108" s="105" t="str">
        <f>IF(ISBLANK(Term1_Special_Day_2[[#This Row],[Activity]]),"",IF(_xlfn.XLOOKUP(Term1_Special_Day_2[[#This Row],[Activity]],Types_of_Activity[Type of Activity],Types_of_Activity[Classification])=2,Term1_Special_Day_2[[#This Row],[Elapsed]],0))</f>
        <v/>
      </c>
      <c r="O108"/>
      <c r="P108" s="135"/>
      <c r="Q108" s="135"/>
      <c r="R108" s="102"/>
      <c r="S108" s="105" t="str">
        <f>IF(OR(ISBLANK(Term1_Special_Day_3[[#This Row],[Start]]),ISBLANK(Term1_Special_Day_3[[#This Row],[End]])),"",(Term1_Special_Day_3[[#This Row],[End]]-Term1_Special_Day_3[[#This Row],[Start]])*1440)</f>
        <v/>
      </c>
      <c r="T108" s="105" t="str">
        <f>IF(ISBLANK(Term1_Special_Day_3[[#This Row],[Activity]]),"",IF(_xlfn.XLOOKUP(Term1_Special_Day_3[[#This Row],[Activity]],Types_of_Activity[Type of Activity],Types_of_Activity[Classification])=1,Term1_Special_Day_3[[#This Row],[Elapsed]],0))</f>
        <v/>
      </c>
      <c r="U108" s="105" t="str">
        <f>IF(ISBLANK(Term1_Special_Day_3[[#This Row],[Activity]]),"",IF(_xlfn.XLOOKUP(Term1_Special_Day_3[[#This Row],[Activity]],Types_of_Activity[Type of Activity],Types_of_Activity[Classification])=2,Term1_Special_Day_3[[#This Row],[Elapsed]],0))</f>
        <v/>
      </c>
    </row>
    <row r="109" spans="2:21" x14ac:dyDescent="0.3">
      <c r="B109" s="135"/>
      <c r="C109" s="135"/>
      <c r="D109" s="102"/>
      <c r="E109" s="105" t="str">
        <f>IF(OR(ISBLANK(Term1_Special_Day_1[[#This Row],[Start]]),ISBLANK(Term1_Special_Day_1[[#This Row],[End]])),"",(Term1_Special_Day_1[[#This Row],[End]]-Term1_Special_Day_1[[#This Row],[Start]])*1440)</f>
        <v/>
      </c>
      <c r="F109" s="105" t="str">
        <f>IF(ISBLANK(Term1_Special_Day_1[[#This Row],[Activity]]),"",IF(_xlfn.XLOOKUP(Term1_Special_Day_1[[#This Row],[Activity]],Types_of_Activity[Type of Activity],Types_of_Activity[Classification])=1,Term1_Special_Day_1[[#This Row],[Elapsed]],0))</f>
        <v/>
      </c>
      <c r="G109" s="105" t="str">
        <f>IF(ISBLANK(Term1_Special_Day_1[[#This Row],[Activity]]),"",IF(_xlfn.XLOOKUP(Term1_Special_Day_1[[#This Row],[Activity]],Types_of_Activity[Type of Activity],Types_of_Activity[Classification])=2,Term1_Special_Day_1[[#This Row],[Elapsed]],0))</f>
        <v/>
      </c>
      <c r="H109"/>
      <c r="I109" s="135"/>
      <c r="J109" s="135"/>
      <c r="K109" s="102"/>
      <c r="L109" s="105" t="str">
        <f>IF(OR(ISBLANK(Term1_Special_Day_2[[#This Row],[Start]]),ISBLANK(Term1_Special_Day_2[[#This Row],[End]])),"",(Term1_Special_Day_2[[#This Row],[End]]-Term1_Special_Day_2[[#This Row],[Start]])*1440)</f>
        <v/>
      </c>
      <c r="M109" s="105" t="str">
        <f>IF(ISBLANK(Term1_Special_Day_2[[#This Row],[Activity]]),"",IF(_xlfn.XLOOKUP(Term1_Special_Day_2[[#This Row],[Activity]],Types_of_Activity[Type of Activity],Types_of_Activity[Classification])=1,Term1_Special_Day_2[[#This Row],[Elapsed]],0))</f>
        <v/>
      </c>
      <c r="N109" s="105" t="str">
        <f>IF(ISBLANK(Term1_Special_Day_2[[#This Row],[Activity]]),"",IF(_xlfn.XLOOKUP(Term1_Special_Day_2[[#This Row],[Activity]],Types_of_Activity[Type of Activity],Types_of_Activity[Classification])=2,Term1_Special_Day_2[[#This Row],[Elapsed]],0))</f>
        <v/>
      </c>
      <c r="O109"/>
      <c r="P109" s="135"/>
      <c r="Q109" s="135"/>
      <c r="R109" s="102"/>
      <c r="S109" s="105" t="str">
        <f>IF(OR(ISBLANK(Term1_Special_Day_3[[#This Row],[Start]]),ISBLANK(Term1_Special_Day_3[[#This Row],[End]])),"",(Term1_Special_Day_3[[#This Row],[End]]-Term1_Special_Day_3[[#This Row],[Start]])*1440)</f>
        <v/>
      </c>
      <c r="T109" s="105" t="str">
        <f>IF(ISBLANK(Term1_Special_Day_3[[#This Row],[Activity]]),"",IF(_xlfn.XLOOKUP(Term1_Special_Day_3[[#This Row],[Activity]],Types_of_Activity[Type of Activity],Types_of_Activity[Classification])=1,Term1_Special_Day_3[[#This Row],[Elapsed]],0))</f>
        <v/>
      </c>
      <c r="U109" s="105" t="str">
        <f>IF(ISBLANK(Term1_Special_Day_3[[#This Row],[Activity]]),"",IF(_xlfn.XLOOKUP(Term1_Special_Day_3[[#This Row],[Activity]],Types_of_Activity[Type of Activity],Types_of_Activity[Classification])=2,Term1_Special_Day_3[[#This Row],[Elapsed]],0))</f>
        <v/>
      </c>
    </row>
    <row r="110" spans="2:21" x14ac:dyDescent="0.3">
      <c r="B110" s="135"/>
      <c r="C110" s="135"/>
      <c r="D110" s="102"/>
      <c r="E110" s="105" t="str">
        <f>IF(OR(ISBLANK(Term1_Special_Day_1[[#This Row],[Start]]),ISBLANK(Term1_Special_Day_1[[#This Row],[End]])),"",(Term1_Special_Day_1[[#This Row],[End]]-Term1_Special_Day_1[[#This Row],[Start]])*1440)</f>
        <v/>
      </c>
      <c r="F110" s="105" t="str">
        <f>IF(ISBLANK(Term1_Special_Day_1[[#This Row],[Activity]]),"",IF(_xlfn.XLOOKUP(Term1_Special_Day_1[[#This Row],[Activity]],Types_of_Activity[Type of Activity],Types_of_Activity[Classification])=1,Term1_Special_Day_1[[#This Row],[Elapsed]],0))</f>
        <v/>
      </c>
      <c r="G110" s="105" t="str">
        <f>IF(ISBLANK(Term1_Special_Day_1[[#This Row],[Activity]]),"",IF(_xlfn.XLOOKUP(Term1_Special_Day_1[[#This Row],[Activity]],Types_of_Activity[Type of Activity],Types_of_Activity[Classification])=2,Term1_Special_Day_1[[#This Row],[Elapsed]],0))</f>
        <v/>
      </c>
      <c r="H110"/>
      <c r="I110" s="135"/>
      <c r="J110" s="135"/>
      <c r="K110" s="102"/>
      <c r="L110" s="105" t="str">
        <f>IF(OR(ISBLANK(Term1_Special_Day_2[[#This Row],[Start]]),ISBLANK(Term1_Special_Day_2[[#This Row],[End]])),"",(Term1_Special_Day_2[[#This Row],[End]]-Term1_Special_Day_2[[#This Row],[Start]])*1440)</f>
        <v/>
      </c>
      <c r="M110" s="105" t="str">
        <f>IF(ISBLANK(Term1_Special_Day_2[[#This Row],[Activity]]),"",IF(_xlfn.XLOOKUP(Term1_Special_Day_2[[#This Row],[Activity]],Types_of_Activity[Type of Activity],Types_of_Activity[Classification])=1,Term1_Special_Day_2[[#This Row],[Elapsed]],0))</f>
        <v/>
      </c>
      <c r="N110" s="105" t="str">
        <f>IF(ISBLANK(Term1_Special_Day_2[[#This Row],[Activity]]),"",IF(_xlfn.XLOOKUP(Term1_Special_Day_2[[#This Row],[Activity]],Types_of_Activity[Type of Activity],Types_of_Activity[Classification])=2,Term1_Special_Day_2[[#This Row],[Elapsed]],0))</f>
        <v/>
      </c>
      <c r="O110"/>
      <c r="P110" s="135"/>
      <c r="Q110" s="135"/>
      <c r="R110" s="102"/>
      <c r="S110" s="105" t="str">
        <f>IF(OR(ISBLANK(Term1_Special_Day_3[[#This Row],[Start]]),ISBLANK(Term1_Special_Day_3[[#This Row],[End]])),"",(Term1_Special_Day_3[[#This Row],[End]]-Term1_Special_Day_3[[#This Row],[Start]])*1440)</f>
        <v/>
      </c>
      <c r="T110" s="105" t="str">
        <f>IF(ISBLANK(Term1_Special_Day_3[[#This Row],[Activity]]),"",IF(_xlfn.XLOOKUP(Term1_Special_Day_3[[#This Row],[Activity]],Types_of_Activity[Type of Activity],Types_of_Activity[Classification])=1,Term1_Special_Day_3[[#This Row],[Elapsed]],0))</f>
        <v/>
      </c>
      <c r="U110" s="105" t="str">
        <f>IF(ISBLANK(Term1_Special_Day_3[[#This Row],[Activity]]),"",IF(_xlfn.XLOOKUP(Term1_Special_Day_3[[#This Row],[Activity]],Types_of_Activity[Type of Activity],Types_of_Activity[Classification])=2,Term1_Special_Day_3[[#This Row],[Elapsed]],0))</f>
        <v/>
      </c>
    </row>
    <row r="111" spans="2:21" x14ac:dyDescent="0.3">
      <c r="B111" s="135"/>
      <c r="C111" s="135"/>
      <c r="D111" s="102"/>
      <c r="E111" s="105" t="str">
        <f>IF(OR(ISBLANK(Term1_Special_Day_1[[#This Row],[Start]]),ISBLANK(Term1_Special_Day_1[[#This Row],[End]])),"",(Term1_Special_Day_1[[#This Row],[End]]-Term1_Special_Day_1[[#This Row],[Start]])*1440)</f>
        <v/>
      </c>
      <c r="F111" s="105" t="str">
        <f>IF(ISBLANK(Term1_Special_Day_1[[#This Row],[Activity]]),"",IF(_xlfn.XLOOKUP(Term1_Special_Day_1[[#This Row],[Activity]],Types_of_Activity[Type of Activity],Types_of_Activity[Classification])=1,Term1_Special_Day_1[[#This Row],[Elapsed]],0))</f>
        <v/>
      </c>
      <c r="G111" s="105" t="str">
        <f>IF(ISBLANK(Term1_Special_Day_1[[#This Row],[Activity]]),"",IF(_xlfn.XLOOKUP(Term1_Special_Day_1[[#This Row],[Activity]],Types_of_Activity[Type of Activity],Types_of_Activity[Classification])=2,Term1_Special_Day_1[[#This Row],[Elapsed]],0))</f>
        <v/>
      </c>
      <c r="H111"/>
      <c r="I111" s="135"/>
      <c r="J111" s="135"/>
      <c r="K111" s="102"/>
      <c r="L111" s="105" t="str">
        <f>IF(OR(ISBLANK(Term1_Special_Day_2[[#This Row],[Start]]),ISBLANK(Term1_Special_Day_2[[#This Row],[End]])),"",(Term1_Special_Day_2[[#This Row],[End]]-Term1_Special_Day_2[[#This Row],[Start]])*1440)</f>
        <v/>
      </c>
      <c r="M111" s="105" t="str">
        <f>IF(ISBLANK(Term1_Special_Day_2[[#This Row],[Activity]]),"",IF(_xlfn.XLOOKUP(Term1_Special_Day_2[[#This Row],[Activity]],Types_of_Activity[Type of Activity],Types_of_Activity[Classification])=1,Term1_Special_Day_2[[#This Row],[Elapsed]],0))</f>
        <v/>
      </c>
      <c r="N111" s="105" t="str">
        <f>IF(ISBLANK(Term1_Special_Day_2[[#This Row],[Activity]]),"",IF(_xlfn.XLOOKUP(Term1_Special_Day_2[[#This Row],[Activity]],Types_of_Activity[Type of Activity],Types_of_Activity[Classification])=2,Term1_Special_Day_2[[#This Row],[Elapsed]],0))</f>
        <v/>
      </c>
      <c r="O111"/>
      <c r="P111" s="135"/>
      <c r="Q111" s="135"/>
      <c r="R111" s="102"/>
      <c r="S111" s="105" t="str">
        <f>IF(OR(ISBLANK(Term1_Special_Day_3[[#This Row],[Start]]),ISBLANK(Term1_Special_Day_3[[#This Row],[End]])),"",(Term1_Special_Day_3[[#This Row],[End]]-Term1_Special_Day_3[[#This Row],[Start]])*1440)</f>
        <v/>
      </c>
      <c r="T111" s="105" t="str">
        <f>IF(ISBLANK(Term1_Special_Day_3[[#This Row],[Activity]]),"",IF(_xlfn.XLOOKUP(Term1_Special_Day_3[[#This Row],[Activity]],Types_of_Activity[Type of Activity],Types_of_Activity[Classification])=1,Term1_Special_Day_3[[#This Row],[Elapsed]],0))</f>
        <v/>
      </c>
      <c r="U111" s="105" t="str">
        <f>IF(ISBLANK(Term1_Special_Day_3[[#This Row],[Activity]]),"",IF(_xlfn.XLOOKUP(Term1_Special_Day_3[[#This Row],[Activity]],Types_of_Activity[Type of Activity],Types_of_Activity[Classification])=2,Term1_Special_Day_3[[#This Row],[Elapsed]],0))</f>
        <v/>
      </c>
    </row>
    <row r="112" spans="2:21" x14ac:dyDescent="0.3">
      <c r="B112" s="135"/>
      <c r="C112" s="135"/>
      <c r="D112" s="102"/>
      <c r="E112" s="105" t="str">
        <f>IF(OR(ISBLANK(Term1_Special_Day_1[[#This Row],[Start]]),ISBLANK(Term1_Special_Day_1[[#This Row],[End]])),"",(Term1_Special_Day_1[[#This Row],[End]]-Term1_Special_Day_1[[#This Row],[Start]])*1440)</f>
        <v/>
      </c>
      <c r="F112" s="105" t="str">
        <f>IF(ISBLANK(Term1_Special_Day_1[[#This Row],[Activity]]),"",IF(_xlfn.XLOOKUP(Term1_Special_Day_1[[#This Row],[Activity]],Types_of_Activity[Type of Activity],Types_of_Activity[Classification])=1,Term1_Special_Day_1[[#This Row],[Elapsed]],0))</f>
        <v/>
      </c>
      <c r="G112" s="105" t="str">
        <f>IF(ISBLANK(Term1_Special_Day_1[[#This Row],[Activity]]),"",IF(_xlfn.XLOOKUP(Term1_Special_Day_1[[#This Row],[Activity]],Types_of_Activity[Type of Activity],Types_of_Activity[Classification])=2,Term1_Special_Day_1[[#This Row],[Elapsed]],0))</f>
        <v/>
      </c>
      <c r="H112"/>
      <c r="I112" s="135"/>
      <c r="J112" s="135"/>
      <c r="K112" s="102"/>
      <c r="L112" s="105" t="str">
        <f>IF(OR(ISBLANK(Term1_Special_Day_2[[#This Row],[Start]]),ISBLANK(Term1_Special_Day_2[[#This Row],[End]])),"",(Term1_Special_Day_2[[#This Row],[End]]-Term1_Special_Day_2[[#This Row],[Start]])*1440)</f>
        <v/>
      </c>
      <c r="M112" s="105" t="str">
        <f>IF(ISBLANK(Term1_Special_Day_2[[#This Row],[Activity]]),"",IF(_xlfn.XLOOKUP(Term1_Special_Day_2[[#This Row],[Activity]],Types_of_Activity[Type of Activity],Types_of_Activity[Classification])=1,Term1_Special_Day_2[[#This Row],[Elapsed]],0))</f>
        <v/>
      </c>
      <c r="N112" s="105" t="str">
        <f>IF(ISBLANK(Term1_Special_Day_2[[#This Row],[Activity]]),"",IF(_xlfn.XLOOKUP(Term1_Special_Day_2[[#This Row],[Activity]],Types_of_Activity[Type of Activity],Types_of_Activity[Classification])=2,Term1_Special_Day_2[[#This Row],[Elapsed]],0))</f>
        <v/>
      </c>
      <c r="O112"/>
      <c r="P112" s="135"/>
      <c r="Q112" s="135"/>
      <c r="R112" s="102"/>
      <c r="S112" s="105" t="str">
        <f>IF(OR(ISBLANK(Term1_Special_Day_3[[#This Row],[Start]]),ISBLANK(Term1_Special_Day_3[[#This Row],[End]])),"",(Term1_Special_Day_3[[#This Row],[End]]-Term1_Special_Day_3[[#This Row],[Start]])*1440)</f>
        <v/>
      </c>
      <c r="T112" s="105" t="str">
        <f>IF(ISBLANK(Term1_Special_Day_3[[#This Row],[Activity]]),"",IF(_xlfn.XLOOKUP(Term1_Special_Day_3[[#This Row],[Activity]],Types_of_Activity[Type of Activity],Types_of_Activity[Classification])=1,Term1_Special_Day_3[[#This Row],[Elapsed]],0))</f>
        <v/>
      </c>
      <c r="U112" s="105" t="str">
        <f>IF(ISBLANK(Term1_Special_Day_3[[#This Row],[Activity]]),"",IF(_xlfn.XLOOKUP(Term1_Special_Day_3[[#This Row],[Activity]],Types_of_Activity[Type of Activity],Types_of_Activity[Classification])=2,Term1_Special_Day_3[[#This Row],[Elapsed]],0))</f>
        <v/>
      </c>
    </row>
    <row r="113" spans="2:21" x14ac:dyDescent="0.3">
      <c r="B113" s="135"/>
      <c r="C113" s="135"/>
      <c r="D113" s="102"/>
      <c r="E113" s="105" t="str">
        <f>IF(OR(ISBLANK(Term1_Special_Day_1[[#This Row],[Start]]),ISBLANK(Term1_Special_Day_1[[#This Row],[End]])),"",(Term1_Special_Day_1[[#This Row],[End]]-Term1_Special_Day_1[[#This Row],[Start]])*1440)</f>
        <v/>
      </c>
      <c r="F113" s="105" t="str">
        <f>IF(ISBLANK(Term1_Special_Day_1[[#This Row],[Activity]]),"",IF(_xlfn.XLOOKUP(Term1_Special_Day_1[[#This Row],[Activity]],Types_of_Activity[Type of Activity],Types_of_Activity[Classification])=1,Term1_Special_Day_1[[#This Row],[Elapsed]],0))</f>
        <v/>
      </c>
      <c r="G113" s="105" t="str">
        <f>IF(ISBLANK(Term1_Special_Day_1[[#This Row],[Activity]]),"",IF(_xlfn.XLOOKUP(Term1_Special_Day_1[[#This Row],[Activity]],Types_of_Activity[Type of Activity],Types_of_Activity[Classification])=2,Term1_Special_Day_1[[#This Row],[Elapsed]],0))</f>
        <v/>
      </c>
      <c r="H113"/>
      <c r="I113" s="135"/>
      <c r="J113" s="135"/>
      <c r="K113" s="102"/>
      <c r="L113" s="105" t="str">
        <f>IF(OR(ISBLANK(Term1_Special_Day_2[[#This Row],[Start]]),ISBLANK(Term1_Special_Day_2[[#This Row],[End]])),"",(Term1_Special_Day_2[[#This Row],[End]]-Term1_Special_Day_2[[#This Row],[Start]])*1440)</f>
        <v/>
      </c>
      <c r="M113" s="105" t="str">
        <f>IF(ISBLANK(Term1_Special_Day_2[[#This Row],[Activity]]),"",IF(_xlfn.XLOOKUP(Term1_Special_Day_2[[#This Row],[Activity]],Types_of_Activity[Type of Activity],Types_of_Activity[Classification])=1,Term1_Special_Day_2[[#This Row],[Elapsed]],0))</f>
        <v/>
      </c>
      <c r="N113" s="105" t="str">
        <f>IF(ISBLANK(Term1_Special_Day_2[[#This Row],[Activity]]),"",IF(_xlfn.XLOOKUP(Term1_Special_Day_2[[#This Row],[Activity]],Types_of_Activity[Type of Activity],Types_of_Activity[Classification])=2,Term1_Special_Day_2[[#This Row],[Elapsed]],0))</f>
        <v/>
      </c>
      <c r="O113"/>
      <c r="P113" s="135"/>
      <c r="Q113" s="135"/>
      <c r="R113" s="102"/>
      <c r="S113" s="105" t="str">
        <f>IF(OR(ISBLANK(Term1_Special_Day_3[[#This Row],[Start]]),ISBLANK(Term1_Special_Day_3[[#This Row],[End]])),"",(Term1_Special_Day_3[[#This Row],[End]]-Term1_Special_Day_3[[#This Row],[Start]])*1440)</f>
        <v/>
      </c>
      <c r="T113" s="105" t="str">
        <f>IF(ISBLANK(Term1_Special_Day_3[[#This Row],[Activity]]),"",IF(_xlfn.XLOOKUP(Term1_Special_Day_3[[#This Row],[Activity]],Types_of_Activity[Type of Activity],Types_of_Activity[Classification])=1,Term1_Special_Day_3[[#This Row],[Elapsed]],0))</f>
        <v/>
      </c>
      <c r="U113" s="105" t="str">
        <f>IF(ISBLANK(Term1_Special_Day_3[[#This Row],[Activity]]),"",IF(_xlfn.XLOOKUP(Term1_Special_Day_3[[#This Row],[Activity]],Types_of_Activity[Type of Activity],Types_of_Activity[Classification])=2,Term1_Special_Day_3[[#This Row],[Elapsed]],0))</f>
        <v/>
      </c>
    </row>
    <row r="114" spans="2:21" x14ac:dyDescent="0.3">
      <c r="B114" s="135"/>
      <c r="C114" s="135"/>
      <c r="D114" s="102"/>
      <c r="E114" s="105" t="str">
        <f>IF(OR(ISBLANK(Term1_Special_Day_1[[#This Row],[Start]]),ISBLANK(Term1_Special_Day_1[[#This Row],[End]])),"",(Term1_Special_Day_1[[#This Row],[End]]-Term1_Special_Day_1[[#This Row],[Start]])*1440)</f>
        <v/>
      </c>
      <c r="F114" s="105" t="str">
        <f>IF(ISBLANK(Term1_Special_Day_1[[#This Row],[Activity]]),"",IF(_xlfn.XLOOKUP(Term1_Special_Day_1[[#This Row],[Activity]],Types_of_Activity[Type of Activity],Types_of_Activity[Classification])=1,Term1_Special_Day_1[[#This Row],[Elapsed]],0))</f>
        <v/>
      </c>
      <c r="G114" s="105" t="str">
        <f>IF(ISBLANK(Term1_Special_Day_1[[#This Row],[Activity]]),"",IF(_xlfn.XLOOKUP(Term1_Special_Day_1[[#This Row],[Activity]],Types_of_Activity[Type of Activity],Types_of_Activity[Classification])=2,Term1_Special_Day_1[[#This Row],[Elapsed]],0))</f>
        <v/>
      </c>
      <c r="H114"/>
      <c r="I114" s="135"/>
      <c r="J114" s="135"/>
      <c r="K114" s="102"/>
      <c r="L114" s="105" t="str">
        <f>IF(OR(ISBLANK(Term1_Special_Day_2[[#This Row],[Start]]),ISBLANK(Term1_Special_Day_2[[#This Row],[End]])),"",(Term1_Special_Day_2[[#This Row],[End]]-Term1_Special_Day_2[[#This Row],[Start]])*1440)</f>
        <v/>
      </c>
      <c r="M114" s="105" t="str">
        <f>IF(ISBLANK(Term1_Special_Day_2[[#This Row],[Activity]]),"",IF(_xlfn.XLOOKUP(Term1_Special_Day_2[[#This Row],[Activity]],Types_of_Activity[Type of Activity],Types_of_Activity[Classification])=1,Term1_Special_Day_2[[#This Row],[Elapsed]],0))</f>
        <v/>
      </c>
      <c r="N114" s="105" t="str">
        <f>IF(ISBLANK(Term1_Special_Day_2[[#This Row],[Activity]]),"",IF(_xlfn.XLOOKUP(Term1_Special_Day_2[[#This Row],[Activity]],Types_of_Activity[Type of Activity],Types_of_Activity[Classification])=2,Term1_Special_Day_2[[#This Row],[Elapsed]],0))</f>
        <v/>
      </c>
      <c r="O114"/>
      <c r="P114" s="135"/>
      <c r="Q114" s="135"/>
      <c r="R114" s="102"/>
      <c r="S114" s="105" t="str">
        <f>IF(OR(ISBLANK(Term1_Special_Day_3[[#This Row],[Start]]),ISBLANK(Term1_Special_Day_3[[#This Row],[End]])),"",(Term1_Special_Day_3[[#This Row],[End]]-Term1_Special_Day_3[[#This Row],[Start]])*1440)</f>
        <v/>
      </c>
      <c r="T114" s="105" t="str">
        <f>IF(ISBLANK(Term1_Special_Day_3[[#This Row],[Activity]]),"",IF(_xlfn.XLOOKUP(Term1_Special_Day_3[[#This Row],[Activity]],Types_of_Activity[Type of Activity],Types_of_Activity[Classification])=1,Term1_Special_Day_3[[#This Row],[Elapsed]],0))</f>
        <v/>
      </c>
      <c r="U114" s="105" t="str">
        <f>IF(ISBLANK(Term1_Special_Day_3[[#This Row],[Activity]]),"",IF(_xlfn.XLOOKUP(Term1_Special_Day_3[[#This Row],[Activity]],Types_of_Activity[Type of Activity],Types_of_Activity[Classification])=2,Term1_Special_Day_3[[#This Row],[Elapsed]],0))</f>
        <v/>
      </c>
    </row>
    <row r="115" spans="2:21" x14ac:dyDescent="0.3">
      <c r="B115" s="135"/>
      <c r="C115" s="135"/>
      <c r="D115" s="102"/>
      <c r="E115" s="105" t="str">
        <f>IF(OR(ISBLANK(Term1_Special_Day_1[[#This Row],[Start]]),ISBLANK(Term1_Special_Day_1[[#This Row],[End]])),"",(Term1_Special_Day_1[[#This Row],[End]]-Term1_Special_Day_1[[#This Row],[Start]])*1440)</f>
        <v/>
      </c>
      <c r="F115" s="105" t="str">
        <f>IF(ISBLANK(Term1_Special_Day_1[[#This Row],[Activity]]),"",IF(_xlfn.XLOOKUP(Term1_Special_Day_1[[#This Row],[Activity]],Types_of_Activity[Type of Activity],Types_of_Activity[Classification])=1,Term1_Special_Day_1[[#This Row],[Elapsed]],0))</f>
        <v/>
      </c>
      <c r="G115" s="105" t="str">
        <f>IF(ISBLANK(Term1_Special_Day_1[[#This Row],[Activity]]),"",IF(_xlfn.XLOOKUP(Term1_Special_Day_1[[#This Row],[Activity]],Types_of_Activity[Type of Activity],Types_of_Activity[Classification])=2,Term1_Special_Day_1[[#This Row],[Elapsed]],0))</f>
        <v/>
      </c>
      <c r="H115"/>
      <c r="I115" s="135"/>
      <c r="J115" s="135"/>
      <c r="K115" s="102"/>
      <c r="L115" s="105" t="str">
        <f>IF(OR(ISBLANK(Term1_Special_Day_2[[#This Row],[Start]]),ISBLANK(Term1_Special_Day_2[[#This Row],[End]])),"",(Term1_Special_Day_2[[#This Row],[End]]-Term1_Special_Day_2[[#This Row],[Start]])*1440)</f>
        <v/>
      </c>
      <c r="M115" s="105" t="str">
        <f>IF(ISBLANK(Term1_Special_Day_2[[#This Row],[Activity]]),"",IF(_xlfn.XLOOKUP(Term1_Special_Day_2[[#This Row],[Activity]],Types_of_Activity[Type of Activity],Types_of_Activity[Classification])=1,Term1_Special_Day_2[[#This Row],[Elapsed]],0))</f>
        <v/>
      </c>
      <c r="N115" s="105" t="str">
        <f>IF(ISBLANK(Term1_Special_Day_2[[#This Row],[Activity]]),"",IF(_xlfn.XLOOKUP(Term1_Special_Day_2[[#This Row],[Activity]],Types_of_Activity[Type of Activity],Types_of_Activity[Classification])=2,Term1_Special_Day_2[[#This Row],[Elapsed]],0))</f>
        <v/>
      </c>
      <c r="O115"/>
      <c r="P115" s="135"/>
      <c r="Q115" s="135"/>
      <c r="R115" s="102"/>
      <c r="S115" s="105" t="str">
        <f>IF(OR(ISBLANK(Term1_Special_Day_3[[#This Row],[Start]]),ISBLANK(Term1_Special_Day_3[[#This Row],[End]])),"",(Term1_Special_Day_3[[#This Row],[End]]-Term1_Special_Day_3[[#This Row],[Start]])*1440)</f>
        <v/>
      </c>
      <c r="T115" s="105" t="str">
        <f>IF(ISBLANK(Term1_Special_Day_3[[#This Row],[Activity]]),"",IF(_xlfn.XLOOKUP(Term1_Special_Day_3[[#This Row],[Activity]],Types_of_Activity[Type of Activity],Types_of_Activity[Classification])=1,Term1_Special_Day_3[[#This Row],[Elapsed]],0))</f>
        <v/>
      </c>
      <c r="U115" s="105" t="str">
        <f>IF(ISBLANK(Term1_Special_Day_3[[#This Row],[Activity]]),"",IF(_xlfn.XLOOKUP(Term1_Special_Day_3[[#This Row],[Activity]],Types_of_Activity[Type of Activity],Types_of_Activity[Classification])=2,Term1_Special_Day_3[[#This Row],[Elapsed]],0))</f>
        <v/>
      </c>
    </row>
    <row r="116" spans="2:21" x14ac:dyDescent="0.3">
      <c r="B116" s="135"/>
      <c r="C116" s="135"/>
      <c r="D116" s="102"/>
      <c r="E116" s="105" t="str">
        <f>IF(OR(ISBLANK(Term1_Special_Day_1[[#This Row],[Start]]),ISBLANK(Term1_Special_Day_1[[#This Row],[End]])),"",(Term1_Special_Day_1[[#This Row],[End]]-Term1_Special_Day_1[[#This Row],[Start]])*1440)</f>
        <v/>
      </c>
      <c r="F116" s="105" t="str">
        <f>IF(ISBLANK(Term1_Special_Day_1[[#This Row],[Activity]]),"",IF(_xlfn.XLOOKUP(Term1_Special_Day_1[[#This Row],[Activity]],Types_of_Activity[Type of Activity],Types_of_Activity[Classification])=1,Term1_Special_Day_1[[#This Row],[Elapsed]],0))</f>
        <v/>
      </c>
      <c r="G116" s="105" t="str">
        <f>IF(ISBLANK(Term1_Special_Day_1[[#This Row],[Activity]]),"",IF(_xlfn.XLOOKUP(Term1_Special_Day_1[[#This Row],[Activity]],Types_of_Activity[Type of Activity],Types_of_Activity[Classification])=2,Term1_Special_Day_1[[#This Row],[Elapsed]],0))</f>
        <v/>
      </c>
      <c r="H116"/>
      <c r="I116" s="135"/>
      <c r="J116" s="135"/>
      <c r="K116" s="102"/>
      <c r="L116" s="105" t="str">
        <f>IF(OR(ISBLANK(Term1_Special_Day_2[[#This Row],[Start]]),ISBLANK(Term1_Special_Day_2[[#This Row],[End]])),"",(Term1_Special_Day_2[[#This Row],[End]]-Term1_Special_Day_2[[#This Row],[Start]])*1440)</f>
        <v/>
      </c>
      <c r="M116" s="105" t="str">
        <f>IF(ISBLANK(Term1_Special_Day_2[[#This Row],[Activity]]),"",IF(_xlfn.XLOOKUP(Term1_Special_Day_2[[#This Row],[Activity]],Types_of_Activity[Type of Activity],Types_of_Activity[Classification])=1,Term1_Special_Day_2[[#This Row],[Elapsed]],0))</f>
        <v/>
      </c>
      <c r="N116" s="105" t="str">
        <f>IF(ISBLANK(Term1_Special_Day_2[[#This Row],[Activity]]),"",IF(_xlfn.XLOOKUP(Term1_Special_Day_2[[#This Row],[Activity]],Types_of_Activity[Type of Activity],Types_of_Activity[Classification])=2,Term1_Special_Day_2[[#This Row],[Elapsed]],0))</f>
        <v/>
      </c>
      <c r="O116"/>
      <c r="P116" s="135"/>
      <c r="Q116" s="135"/>
      <c r="R116" s="102"/>
      <c r="S116" s="105" t="str">
        <f>IF(OR(ISBLANK(Term1_Special_Day_3[[#This Row],[Start]]),ISBLANK(Term1_Special_Day_3[[#This Row],[End]])),"",(Term1_Special_Day_3[[#This Row],[End]]-Term1_Special_Day_3[[#This Row],[Start]])*1440)</f>
        <v/>
      </c>
      <c r="T116" s="105" t="str">
        <f>IF(ISBLANK(Term1_Special_Day_3[[#This Row],[Activity]]),"",IF(_xlfn.XLOOKUP(Term1_Special_Day_3[[#This Row],[Activity]],Types_of_Activity[Type of Activity],Types_of_Activity[Classification])=1,Term1_Special_Day_3[[#This Row],[Elapsed]],0))</f>
        <v/>
      </c>
      <c r="U116" s="105" t="str">
        <f>IF(ISBLANK(Term1_Special_Day_3[[#This Row],[Activity]]),"",IF(_xlfn.XLOOKUP(Term1_Special_Day_3[[#This Row],[Activity]],Types_of_Activity[Type of Activity],Types_of_Activity[Classification])=2,Term1_Special_Day_3[[#This Row],[Elapsed]],0))</f>
        <v/>
      </c>
    </row>
    <row r="117" spans="2:21" x14ac:dyDescent="0.3">
      <c r="B117" s="135"/>
      <c r="C117" s="135"/>
      <c r="D117" s="102"/>
      <c r="E117" s="105" t="str">
        <f>IF(OR(ISBLANK(Term1_Special_Day_1[[#This Row],[Start]]),ISBLANK(Term1_Special_Day_1[[#This Row],[End]])),"",(Term1_Special_Day_1[[#This Row],[End]]-Term1_Special_Day_1[[#This Row],[Start]])*1440)</f>
        <v/>
      </c>
      <c r="F117" s="105" t="str">
        <f>IF(ISBLANK(Term1_Special_Day_1[[#This Row],[Activity]]),"",IF(_xlfn.XLOOKUP(Term1_Special_Day_1[[#This Row],[Activity]],Types_of_Activity[Type of Activity],Types_of_Activity[Classification])=1,Term1_Special_Day_1[[#This Row],[Elapsed]],0))</f>
        <v/>
      </c>
      <c r="G117" s="105" t="str">
        <f>IF(ISBLANK(Term1_Special_Day_1[[#This Row],[Activity]]),"",IF(_xlfn.XLOOKUP(Term1_Special_Day_1[[#This Row],[Activity]],Types_of_Activity[Type of Activity],Types_of_Activity[Classification])=2,Term1_Special_Day_1[[#This Row],[Elapsed]],0))</f>
        <v/>
      </c>
      <c r="H117"/>
      <c r="I117" s="135"/>
      <c r="J117" s="135"/>
      <c r="K117" s="102"/>
      <c r="L117" s="105" t="str">
        <f>IF(OR(ISBLANK(Term1_Special_Day_2[[#This Row],[Start]]),ISBLANK(Term1_Special_Day_2[[#This Row],[End]])),"",(Term1_Special_Day_2[[#This Row],[End]]-Term1_Special_Day_2[[#This Row],[Start]])*1440)</f>
        <v/>
      </c>
      <c r="M117" s="105" t="str">
        <f>IF(ISBLANK(Term1_Special_Day_2[[#This Row],[Activity]]),"",IF(_xlfn.XLOOKUP(Term1_Special_Day_2[[#This Row],[Activity]],Types_of_Activity[Type of Activity],Types_of_Activity[Classification])=1,Term1_Special_Day_2[[#This Row],[Elapsed]],0))</f>
        <v/>
      </c>
      <c r="N117" s="105" t="str">
        <f>IF(ISBLANK(Term1_Special_Day_2[[#This Row],[Activity]]),"",IF(_xlfn.XLOOKUP(Term1_Special_Day_2[[#This Row],[Activity]],Types_of_Activity[Type of Activity],Types_of_Activity[Classification])=2,Term1_Special_Day_2[[#This Row],[Elapsed]],0))</f>
        <v/>
      </c>
      <c r="O117"/>
      <c r="P117" s="135"/>
      <c r="Q117" s="135"/>
      <c r="R117" s="102"/>
      <c r="S117" s="105" t="str">
        <f>IF(OR(ISBLANK(Term1_Special_Day_3[[#This Row],[Start]]),ISBLANK(Term1_Special_Day_3[[#This Row],[End]])),"",(Term1_Special_Day_3[[#This Row],[End]]-Term1_Special_Day_3[[#This Row],[Start]])*1440)</f>
        <v/>
      </c>
      <c r="T117" s="105" t="str">
        <f>IF(ISBLANK(Term1_Special_Day_3[[#This Row],[Activity]]),"",IF(_xlfn.XLOOKUP(Term1_Special_Day_3[[#This Row],[Activity]],Types_of_Activity[Type of Activity],Types_of_Activity[Classification])=1,Term1_Special_Day_3[[#This Row],[Elapsed]],0))</f>
        <v/>
      </c>
      <c r="U117" s="105" t="str">
        <f>IF(ISBLANK(Term1_Special_Day_3[[#This Row],[Activity]]),"",IF(_xlfn.XLOOKUP(Term1_Special_Day_3[[#This Row],[Activity]],Types_of_Activity[Type of Activity],Types_of_Activity[Classification])=2,Term1_Special_Day_3[[#This Row],[Elapsed]],0))</f>
        <v/>
      </c>
    </row>
    <row r="118" spans="2:21" x14ac:dyDescent="0.3">
      <c r="B118" s="135"/>
      <c r="C118" s="135"/>
      <c r="D118" s="102"/>
      <c r="E118" s="105" t="str">
        <f>IF(OR(ISBLANK(Term1_Special_Day_1[[#This Row],[Start]]),ISBLANK(Term1_Special_Day_1[[#This Row],[End]])),"",(Term1_Special_Day_1[[#This Row],[End]]-Term1_Special_Day_1[[#This Row],[Start]])*1440)</f>
        <v/>
      </c>
      <c r="F118" s="105" t="str">
        <f>IF(ISBLANK(Term1_Special_Day_1[[#This Row],[Activity]]),"",IF(_xlfn.XLOOKUP(Term1_Special_Day_1[[#This Row],[Activity]],Types_of_Activity[Type of Activity],Types_of_Activity[Classification])=1,Term1_Special_Day_1[[#This Row],[Elapsed]],0))</f>
        <v/>
      </c>
      <c r="G118" s="105" t="str">
        <f>IF(ISBLANK(Term1_Special_Day_1[[#This Row],[Activity]]),"",IF(_xlfn.XLOOKUP(Term1_Special_Day_1[[#This Row],[Activity]],Types_of_Activity[Type of Activity],Types_of_Activity[Classification])=2,Term1_Special_Day_1[[#This Row],[Elapsed]],0))</f>
        <v/>
      </c>
      <c r="H118"/>
      <c r="I118" s="135"/>
      <c r="J118" s="135"/>
      <c r="K118" s="102"/>
      <c r="L118" s="105" t="str">
        <f>IF(OR(ISBLANK(Term1_Special_Day_2[[#This Row],[Start]]),ISBLANK(Term1_Special_Day_2[[#This Row],[End]])),"",(Term1_Special_Day_2[[#This Row],[End]]-Term1_Special_Day_2[[#This Row],[Start]])*1440)</f>
        <v/>
      </c>
      <c r="M118" s="105" t="str">
        <f>IF(ISBLANK(Term1_Special_Day_2[[#This Row],[Activity]]),"",IF(_xlfn.XLOOKUP(Term1_Special_Day_2[[#This Row],[Activity]],Types_of_Activity[Type of Activity],Types_of_Activity[Classification])=1,Term1_Special_Day_2[[#This Row],[Elapsed]],0))</f>
        <v/>
      </c>
      <c r="N118" s="105" t="str">
        <f>IF(ISBLANK(Term1_Special_Day_2[[#This Row],[Activity]]),"",IF(_xlfn.XLOOKUP(Term1_Special_Day_2[[#This Row],[Activity]],Types_of_Activity[Type of Activity],Types_of_Activity[Classification])=2,Term1_Special_Day_2[[#This Row],[Elapsed]],0))</f>
        <v/>
      </c>
      <c r="O118"/>
      <c r="P118" s="135"/>
      <c r="Q118" s="135"/>
      <c r="R118" s="102"/>
      <c r="S118" s="105" t="str">
        <f>IF(OR(ISBLANK(Term1_Special_Day_3[[#This Row],[Start]]),ISBLANK(Term1_Special_Day_3[[#This Row],[End]])),"",(Term1_Special_Day_3[[#This Row],[End]]-Term1_Special_Day_3[[#This Row],[Start]])*1440)</f>
        <v/>
      </c>
      <c r="T118" s="105" t="str">
        <f>IF(ISBLANK(Term1_Special_Day_3[[#This Row],[Activity]]),"",IF(_xlfn.XLOOKUP(Term1_Special_Day_3[[#This Row],[Activity]],Types_of_Activity[Type of Activity],Types_of_Activity[Classification])=1,Term1_Special_Day_3[[#This Row],[Elapsed]],0))</f>
        <v/>
      </c>
      <c r="U118" s="105" t="str">
        <f>IF(ISBLANK(Term1_Special_Day_3[[#This Row],[Activity]]),"",IF(_xlfn.XLOOKUP(Term1_Special_Day_3[[#This Row],[Activity]],Types_of_Activity[Type of Activity],Types_of_Activity[Classification])=2,Term1_Special_Day_3[[#This Row],[Elapsed]],0))</f>
        <v/>
      </c>
    </row>
    <row r="119" spans="2:21" x14ac:dyDescent="0.3">
      <c r="B119" s="135"/>
      <c r="C119" s="135"/>
      <c r="D119" s="102"/>
      <c r="E119" s="105" t="str">
        <f>IF(OR(ISBLANK(Term1_Special_Day_1[[#This Row],[Start]]),ISBLANK(Term1_Special_Day_1[[#This Row],[End]])),"",(Term1_Special_Day_1[[#This Row],[End]]-Term1_Special_Day_1[[#This Row],[Start]])*1440)</f>
        <v/>
      </c>
      <c r="F119" s="105" t="str">
        <f>IF(ISBLANK(Term1_Special_Day_1[[#This Row],[Activity]]),"",IF(_xlfn.XLOOKUP(Term1_Special_Day_1[[#This Row],[Activity]],Types_of_Activity[Type of Activity],Types_of_Activity[Classification])=1,Term1_Special_Day_1[[#This Row],[Elapsed]],0))</f>
        <v/>
      </c>
      <c r="G119" s="105" t="str">
        <f>IF(ISBLANK(Term1_Special_Day_1[[#This Row],[Activity]]),"",IF(_xlfn.XLOOKUP(Term1_Special_Day_1[[#This Row],[Activity]],Types_of_Activity[Type of Activity],Types_of_Activity[Classification])=2,Term1_Special_Day_1[[#This Row],[Elapsed]],0))</f>
        <v/>
      </c>
      <c r="H119"/>
      <c r="I119" s="135"/>
      <c r="J119" s="135"/>
      <c r="K119" s="102"/>
      <c r="L119" s="105" t="str">
        <f>IF(OR(ISBLANK(Term1_Special_Day_2[[#This Row],[Start]]),ISBLANK(Term1_Special_Day_2[[#This Row],[End]])),"",(Term1_Special_Day_2[[#This Row],[End]]-Term1_Special_Day_2[[#This Row],[Start]])*1440)</f>
        <v/>
      </c>
      <c r="M119" s="105" t="str">
        <f>IF(ISBLANK(Term1_Special_Day_2[[#This Row],[Activity]]),"",IF(_xlfn.XLOOKUP(Term1_Special_Day_2[[#This Row],[Activity]],Types_of_Activity[Type of Activity],Types_of_Activity[Classification])=1,Term1_Special_Day_2[[#This Row],[Elapsed]],0))</f>
        <v/>
      </c>
      <c r="N119" s="105" t="str">
        <f>IF(ISBLANK(Term1_Special_Day_2[[#This Row],[Activity]]),"",IF(_xlfn.XLOOKUP(Term1_Special_Day_2[[#This Row],[Activity]],Types_of_Activity[Type of Activity],Types_of_Activity[Classification])=2,Term1_Special_Day_2[[#This Row],[Elapsed]],0))</f>
        <v/>
      </c>
      <c r="O119"/>
      <c r="P119" s="135"/>
      <c r="Q119" s="135"/>
      <c r="R119" s="102"/>
      <c r="S119" s="105" t="str">
        <f>IF(OR(ISBLANK(Term1_Special_Day_3[[#This Row],[Start]]),ISBLANK(Term1_Special_Day_3[[#This Row],[End]])),"",(Term1_Special_Day_3[[#This Row],[End]]-Term1_Special_Day_3[[#This Row],[Start]])*1440)</f>
        <v/>
      </c>
      <c r="T119" s="105" t="str">
        <f>IF(ISBLANK(Term1_Special_Day_3[[#This Row],[Activity]]),"",IF(_xlfn.XLOOKUP(Term1_Special_Day_3[[#This Row],[Activity]],Types_of_Activity[Type of Activity],Types_of_Activity[Classification])=1,Term1_Special_Day_3[[#This Row],[Elapsed]],0))</f>
        <v/>
      </c>
      <c r="U119" s="105" t="str">
        <f>IF(ISBLANK(Term1_Special_Day_3[[#This Row],[Activity]]),"",IF(_xlfn.XLOOKUP(Term1_Special_Day_3[[#This Row],[Activity]],Types_of_Activity[Type of Activity],Types_of_Activity[Classification])=2,Term1_Special_Day_3[[#This Row],[Elapsed]],0))</f>
        <v/>
      </c>
    </row>
    <row r="120" spans="2:21" x14ac:dyDescent="0.3">
      <c r="B120" s="135"/>
      <c r="C120" s="135"/>
      <c r="D120" s="102"/>
      <c r="E120" s="105" t="str">
        <f>IF(OR(ISBLANK(Term1_Special_Day_1[[#This Row],[Start]]),ISBLANK(Term1_Special_Day_1[[#This Row],[End]])),"",(Term1_Special_Day_1[[#This Row],[End]]-Term1_Special_Day_1[[#This Row],[Start]])*1440)</f>
        <v/>
      </c>
      <c r="F120" s="105" t="str">
        <f>IF(ISBLANK(Term1_Special_Day_1[[#This Row],[Activity]]),"",IF(_xlfn.XLOOKUP(Term1_Special_Day_1[[#This Row],[Activity]],Types_of_Activity[Type of Activity],Types_of_Activity[Classification])=1,Term1_Special_Day_1[[#This Row],[Elapsed]],0))</f>
        <v/>
      </c>
      <c r="G120" s="105" t="str">
        <f>IF(ISBLANK(Term1_Special_Day_1[[#This Row],[Activity]]),"",IF(_xlfn.XLOOKUP(Term1_Special_Day_1[[#This Row],[Activity]],Types_of_Activity[Type of Activity],Types_of_Activity[Classification])=2,Term1_Special_Day_1[[#This Row],[Elapsed]],0))</f>
        <v/>
      </c>
      <c r="H120"/>
      <c r="I120" s="135"/>
      <c r="J120" s="135"/>
      <c r="K120" s="102"/>
      <c r="L120" s="105" t="str">
        <f>IF(OR(ISBLANK(Term1_Special_Day_2[[#This Row],[Start]]),ISBLANK(Term1_Special_Day_2[[#This Row],[End]])),"",(Term1_Special_Day_2[[#This Row],[End]]-Term1_Special_Day_2[[#This Row],[Start]])*1440)</f>
        <v/>
      </c>
      <c r="M120" s="105" t="str">
        <f>IF(ISBLANK(Term1_Special_Day_2[[#This Row],[Activity]]),"",IF(_xlfn.XLOOKUP(Term1_Special_Day_2[[#This Row],[Activity]],Types_of_Activity[Type of Activity],Types_of_Activity[Classification])=1,Term1_Special_Day_2[[#This Row],[Elapsed]],0))</f>
        <v/>
      </c>
      <c r="N120" s="105" t="str">
        <f>IF(ISBLANK(Term1_Special_Day_2[[#This Row],[Activity]]),"",IF(_xlfn.XLOOKUP(Term1_Special_Day_2[[#This Row],[Activity]],Types_of_Activity[Type of Activity],Types_of_Activity[Classification])=2,Term1_Special_Day_2[[#This Row],[Elapsed]],0))</f>
        <v/>
      </c>
      <c r="O120"/>
      <c r="P120" s="135"/>
      <c r="Q120" s="135"/>
      <c r="R120" s="102"/>
      <c r="S120" s="105" t="str">
        <f>IF(OR(ISBLANK(Term1_Special_Day_3[[#This Row],[Start]]),ISBLANK(Term1_Special_Day_3[[#This Row],[End]])),"",(Term1_Special_Day_3[[#This Row],[End]]-Term1_Special_Day_3[[#This Row],[Start]])*1440)</f>
        <v/>
      </c>
      <c r="T120" s="105" t="str">
        <f>IF(ISBLANK(Term1_Special_Day_3[[#This Row],[Activity]]),"",IF(_xlfn.XLOOKUP(Term1_Special_Day_3[[#This Row],[Activity]],Types_of_Activity[Type of Activity],Types_of_Activity[Classification])=1,Term1_Special_Day_3[[#This Row],[Elapsed]],0))</f>
        <v/>
      </c>
      <c r="U120" s="105" t="str">
        <f>IF(ISBLANK(Term1_Special_Day_3[[#This Row],[Activity]]),"",IF(_xlfn.XLOOKUP(Term1_Special_Day_3[[#This Row],[Activity]],Types_of_Activity[Type of Activity],Types_of_Activity[Classification])=2,Term1_Special_Day_3[[#This Row],[Elapsed]],0))</f>
        <v/>
      </c>
    </row>
    <row r="121" spans="2:21" x14ac:dyDescent="0.3">
      <c r="B121" s="135"/>
      <c r="C121" s="135"/>
      <c r="D121" s="102"/>
      <c r="E121" s="105" t="str">
        <f>IF(OR(ISBLANK(Term1_Special_Day_1[[#This Row],[Start]]),ISBLANK(Term1_Special_Day_1[[#This Row],[End]])),"",(Term1_Special_Day_1[[#This Row],[End]]-Term1_Special_Day_1[[#This Row],[Start]])*1440)</f>
        <v/>
      </c>
      <c r="F121" s="105" t="str">
        <f>IF(ISBLANK(Term1_Special_Day_1[[#This Row],[Activity]]),"",IF(_xlfn.XLOOKUP(Term1_Special_Day_1[[#This Row],[Activity]],Types_of_Activity[Type of Activity],Types_of_Activity[Classification])=1,Term1_Special_Day_1[[#This Row],[Elapsed]],0))</f>
        <v/>
      </c>
      <c r="G121" s="105" t="str">
        <f>IF(ISBLANK(Term1_Special_Day_1[[#This Row],[Activity]]),"",IF(_xlfn.XLOOKUP(Term1_Special_Day_1[[#This Row],[Activity]],Types_of_Activity[Type of Activity],Types_of_Activity[Classification])=2,Term1_Special_Day_1[[#This Row],[Elapsed]],0))</f>
        <v/>
      </c>
      <c r="H121"/>
      <c r="I121" s="135"/>
      <c r="J121" s="135"/>
      <c r="K121" s="102"/>
      <c r="L121" s="105" t="str">
        <f>IF(OR(ISBLANK(Term1_Special_Day_2[[#This Row],[Start]]),ISBLANK(Term1_Special_Day_2[[#This Row],[End]])),"",(Term1_Special_Day_2[[#This Row],[End]]-Term1_Special_Day_2[[#This Row],[Start]])*1440)</f>
        <v/>
      </c>
      <c r="M121" s="105" t="str">
        <f>IF(ISBLANK(Term1_Special_Day_2[[#This Row],[Activity]]),"",IF(_xlfn.XLOOKUP(Term1_Special_Day_2[[#This Row],[Activity]],Types_of_Activity[Type of Activity],Types_of_Activity[Classification])=1,Term1_Special_Day_2[[#This Row],[Elapsed]],0))</f>
        <v/>
      </c>
      <c r="N121" s="105" t="str">
        <f>IF(ISBLANK(Term1_Special_Day_2[[#This Row],[Activity]]),"",IF(_xlfn.XLOOKUP(Term1_Special_Day_2[[#This Row],[Activity]],Types_of_Activity[Type of Activity],Types_of_Activity[Classification])=2,Term1_Special_Day_2[[#This Row],[Elapsed]],0))</f>
        <v/>
      </c>
      <c r="O121"/>
      <c r="P121" s="135"/>
      <c r="Q121" s="135"/>
      <c r="R121" s="102"/>
      <c r="S121" s="105" t="str">
        <f>IF(OR(ISBLANK(Term1_Special_Day_3[[#This Row],[Start]]),ISBLANK(Term1_Special_Day_3[[#This Row],[End]])),"",(Term1_Special_Day_3[[#This Row],[End]]-Term1_Special_Day_3[[#This Row],[Start]])*1440)</f>
        <v/>
      </c>
      <c r="T121" s="105" t="str">
        <f>IF(ISBLANK(Term1_Special_Day_3[[#This Row],[Activity]]),"",IF(_xlfn.XLOOKUP(Term1_Special_Day_3[[#This Row],[Activity]],Types_of_Activity[Type of Activity],Types_of_Activity[Classification])=1,Term1_Special_Day_3[[#This Row],[Elapsed]],0))</f>
        <v/>
      </c>
      <c r="U121" s="105" t="str">
        <f>IF(ISBLANK(Term1_Special_Day_3[[#This Row],[Activity]]),"",IF(_xlfn.XLOOKUP(Term1_Special_Day_3[[#This Row],[Activity]],Types_of_Activity[Type of Activity],Types_of_Activity[Classification])=2,Term1_Special_Day_3[[#This Row],[Elapsed]],0))</f>
        <v/>
      </c>
    </row>
    <row r="122" spans="2:21" x14ac:dyDescent="0.3">
      <c r="B122" s="135"/>
      <c r="C122" s="135"/>
      <c r="D122" s="102"/>
      <c r="E122" s="105" t="str">
        <f>IF(OR(ISBLANK(Term1_Special_Day_1[[#This Row],[Start]]),ISBLANK(Term1_Special_Day_1[[#This Row],[End]])),"",(Term1_Special_Day_1[[#This Row],[End]]-Term1_Special_Day_1[[#This Row],[Start]])*1440)</f>
        <v/>
      </c>
      <c r="F122" s="105" t="str">
        <f>IF(ISBLANK(Term1_Special_Day_1[[#This Row],[Activity]]),"",IF(_xlfn.XLOOKUP(Term1_Special_Day_1[[#This Row],[Activity]],Types_of_Activity[Type of Activity],Types_of_Activity[Classification])=1,Term1_Special_Day_1[[#This Row],[Elapsed]],0))</f>
        <v/>
      </c>
      <c r="G122" s="105" t="str">
        <f>IF(ISBLANK(Term1_Special_Day_1[[#This Row],[Activity]]),"",IF(_xlfn.XLOOKUP(Term1_Special_Day_1[[#This Row],[Activity]],Types_of_Activity[Type of Activity],Types_of_Activity[Classification])=2,Term1_Special_Day_1[[#This Row],[Elapsed]],0))</f>
        <v/>
      </c>
      <c r="H122"/>
      <c r="I122" s="135"/>
      <c r="J122" s="135"/>
      <c r="K122" s="102"/>
      <c r="L122" s="105" t="str">
        <f>IF(OR(ISBLANK(Term1_Special_Day_2[[#This Row],[Start]]),ISBLANK(Term1_Special_Day_2[[#This Row],[End]])),"",(Term1_Special_Day_2[[#This Row],[End]]-Term1_Special_Day_2[[#This Row],[Start]])*1440)</f>
        <v/>
      </c>
      <c r="M122" s="105" t="str">
        <f>IF(ISBLANK(Term1_Special_Day_2[[#This Row],[Activity]]),"",IF(_xlfn.XLOOKUP(Term1_Special_Day_2[[#This Row],[Activity]],Types_of_Activity[Type of Activity],Types_of_Activity[Classification])=1,Term1_Special_Day_2[[#This Row],[Elapsed]],0))</f>
        <v/>
      </c>
      <c r="N122" s="105" t="str">
        <f>IF(ISBLANK(Term1_Special_Day_2[[#This Row],[Activity]]),"",IF(_xlfn.XLOOKUP(Term1_Special_Day_2[[#This Row],[Activity]],Types_of_Activity[Type of Activity],Types_of_Activity[Classification])=2,Term1_Special_Day_2[[#This Row],[Elapsed]],0))</f>
        <v/>
      </c>
      <c r="O122"/>
      <c r="P122" s="135"/>
      <c r="Q122" s="135"/>
      <c r="R122" s="102"/>
      <c r="S122" s="105" t="str">
        <f>IF(OR(ISBLANK(Term1_Special_Day_3[[#This Row],[Start]]),ISBLANK(Term1_Special_Day_3[[#This Row],[End]])),"",(Term1_Special_Day_3[[#This Row],[End]]-Term1_Special_Day_3[[#This Row],[Start]])*1440)</f>
        <v/>
      </c>
      <c r="T122" s="105" t="str">
        <f>IF(ISBLANK(Term1_Special_Day_3[[#This Row],[Activity]]),"",IF(_xlfn.XLOOKUP(Term1_Special_Day_3[[#This Row],[Activity]],Types_of_Activity[Type of Activity],Types_of_Activity[Classification])=1,Term1_Special_Day_3[[#This Row],[Elapsed]],0))</f>
        <v/>
      </c>
      <c r="U122" s="105" t="str">
        <f>IF(ISBLANK(Term1_Special_Day_3[[#This Row],[Activity]]),"",IF(_xlfn.XLOOKUP(Term1_Special_Day_3[[#This Row],[Activity]],Types_of_Activity[Type of Activity],Types_of_Activity[Classification])=2,Term1_Special_Day_3[[#This Row],[Elapsed]],0))</f>
        <v/>
      </c>
    </row>
    <row r="123" spans="2:21" x14ac:dyDescent="0.3">
      <c r="B123" s="135"/>
      <c r="C123" s="135"/>
      <c r="D123" s="102"/>
      <c r="E123" s="105" t="str">
        <f>IF(OR(ISBLANK(Term1_Special_Day_1[[#This Row],[Start]]),ISBLANK(Term1_Special_Day_1[[#This Row],[End]])),"",(Term1_Special_Day_1[[#This Row],[End]]-Term1_Special_Day_1[[#This Row],[Start]])*1440)</f>
        <v/>
      </c>
      <c r="F123" s="105" t="str">
        <f>IF(ISBLANK(Term1_Special_Day_1[[#This Row],[Activity]]),"",IF(_xlfn.XLOOKUP(Term1_Special_Day_1[[#This Row],[Activity]],Types_of_Activity[Type of Activity],Types_of_Activity[Classification])=1,Term1_Special_Day_1[[#This Row],[Elapsed]],0))</f>
        <v/>
      </c>
      <c r="G123" s="105" t="str">
        <f>IF(ISBLANK(Term1_Special_Day_1[[#This Row],[Activity]]),"",IF(_xlfn.XLOOKUP(Term1_Special_Day_1[[#This Row],[Activity]],Types_of_Activity[Type of Activity],Types_of_Activity[Classification])=2,Term1_Special_Day_1[[#This Row],[Elapsed]],0))</f>
        <v/>
      </c>
      <c r="H123"/>
      <c r="I123" s="135"/>
      <c r="J123" s="135"/>
      <c r="K123" s="102"/>
      <c r="L123" s="105" t="str">
        <f>IF(OR(ISBLANK(Term1_Special_Day_2[[#This Row],[Start]]),ISBLANK(Term1_Special_Day_2[[#This Row],[End]])),"",(Term1_Special_Day_2[[#This Row],[End]]-Term1_Special_Day_2[[#This Row],[Start]])*1440)</f>
        <v/>
      </c>
      <c r="M123" s="105" t="str">
        <f>IF(ISBLANK(Term1_Special_Day_2[[#This Row],[Activity]]),"",IF(_xlfn.XLOOKUP(Term1_Special_Day_2[[#This Row],[Activity]],Types_of_Activity[Type of Activity],Types_of_Activity[Classification])=1,Term1_Special_Day_2[[#This Row],[Elapsed]],0))</f>
        <v/>
      </c>
      <c r="N123" s="105" t="str">
        <f>IF(ISBLANK(Term1_Special_Day_2[[#This Row],[Activity]]),"",IF(_xlfn.XLOOKUP(Term1_Special_Day_2[[#This Row],[Activity]],Types_of_Activity[Type of Activity],Types_of_Activity[Classification])=2,Term1_Special_Day_2[[#This Row],[Elapsed]],0))</f>
        <v/>
      </c>
      <c r="O123"/>
      <c r="P123" s="135"/>
      <c r="Q123" s="135"/>
      <c r="R123" s="102"/>
      <c r="S123" s="105" t="str">
        <f>IF(OR(ISBLANK(Term1_Special_Day_3[[#This Row],[Start]]),ISBLANK(Term1_Special_Day_3[[#This Row],[End]])),"",(Term1_Special_Day_3[[#This Row],[End]]-Term1_Special_Day_3[[#This Row],[Start]])*1440)</f>
        <v/>
      </c>
      <c r="T123" s="105" t="str">
        <f>IF(ISBLANK(Term1_Special_Day_3[[#This Row],[Activity]]),"",IF(_xlfn.XLOOKUP(Term1_Special_Day_3[[#This Row],[Activity]],Types_of_Activity[Type of Activity],Types_of_Activity[Classification])=1,Term1_Special_Day_3[[#This Row],[Elapsed]],0))</f>
        <v/>
      </c>
      <c r="U123" s="105" t="str">
        <f>IF(ISBLANK(Term1_Special_Day_3[[#This Row],[Activity]]),"",IF(_xlfn.XLOOKUP(Term1_Special_Day_3[[#This Row],[Activity]],Types_of_Activity[Type of Activity],Types_of_Activity[Classification])=2,Term1_Special_Day_3[[#This Row],[Elapsed]],0))</f>
        <v/>
      </c>
    </row>
    <row r="124" spans="2:21" x14ac:dyDescent="0.3">
      <c r="B124" s="135"/>
      <c r="C124" s="135"/>
      <c r="D124" s="102"/>
      <c r="E124" s="105" t="str">
        <f>IF(OR(ISBLANK(Term1_Special_Day_1[[#This Row],[Start]]),ISBLANK(Term1_Special_Day_1[[#This Row],[End]])),"",(Term1_Special_Day_1[[#This Row],[End]]-Term1_Special_Day_1[[#This Row],[Start]])*1440)</f>
        <v/>
      </c>
      <c r="F124" s="105" t="str">
        <f>IF(ISBLANK(Term1_Special_Day_1[[#This Row],[Activity]]),"",IF(_xlfn.XLOOKUP(Term1_Special_Day_1[[#This Row],[Activity]],Types_of_Activity[Type of Activity],Types_of_Activity[Classification])=1,Term1_Special_Day_1[[#This Row],[Elapsed]],0))</f>
        <v/>
      </c>
      <c r="G124" s="105" t="str">
        <f>IF(ISBLANK(Term1_Special_Day_1[[#This Row],[Activity]]),"",IF(_xlfn.XLOOKUP(Term1_Special_Day_1[[#This Row],[Activity]],Types_of_Activity[Type of Activity],Types_of_Activity[Classification])=2,Term1_Special_Day_1[[#This Row],[Elapsed]],0))</f>
        <v/>
      </c>
      <c r="H124"/>
      <c r="I124" s="135"/>
      <c r="J124" s="135"/>
      <c r="K124" s="102"/>
      <c r="L124" s="105" t="str">
        <f>IF(OR(ISBLANK(Term1_Special_Day_2[[#This Row],[Start]]),ISBLANK(Term1_Special_Day_2[[#This Row],[End]])),"",(Term1_Special_Day_2[[#This Row],[End]]-Term1_Special_Day_2[[#This Row],[Start]])*1440)</f>
        <v/>
      </c>
      <c r="M124" s="105" t="str">
        <f>IF(ISBLANK(Term1_Special_Day_2[[#This Row],[Activity]]),"",IF(_xlfn.XLOOKUP(Term1_Special_Day_2[[#This Row],[Activity]],Types_of_Activity[Type of Activity],Types_of_Activity[Classification])=1,Term1_Special_Day_2[[#This Row],[Elapsed]],0))</f>
        <v/>
      </c>
      <c r="N124" s="105" t="str">
        <f>IF(ISBLANK(Term1_Special_Day_2[[#This Row],[Activity]]),"",IF(_xlfn.XLOOKUP(Term1_Special_Day_2[[#This Row],[Activity]],Types_of_Activity[Type of Activity],Types_of_Activity[Classification])=2,Term1_Special_Day_2[[#This Row],[Elapsed]],0))</f>
        <v/>
      </c>
      <c r="O124"/>
      <c r="P124" s="135"/>
      <c r="Q124" s="135"/>
      <c r="R124" s="102"/>
      <c r="S124" s="105" t="str">
        <f>IF(OR(ISBLANK(Term1_Special_Day_3[[#This Row],[Start]]),ISBLANK(Term1_Special_Day_3[[#This Row],[End]])),"",(Term1_Special_Day_3[[#This Row],[End]]-Term1_Special_Day_3[[#This Row],[Start]])*1440)</f>
        <v/>
      </c>
      <c r="T124" s="105" t="str">
        <f>IF(ISBLANK(Term1_Special_Day_3[[#This Row],[Activity]]),"",IF(_xlfn.XLOOKUP(Term1_Special_Day_3[[#This Row],[Activity]],Types_of_Activity[Type of Activity],Types_of_Activity[Classification])=1,Term1_Special_Day_3[[#This Row],[Elapsed]],0))</f>
        <v/>
      </c>
      <c r="U124" s="105" t="str">
        <f>IF(ISBLANK(Term1_Special_Day_3[[#This Row],[Activity]]),"",IF(_xlfn.XLOOKUP(Term1_Special_Day_3[[#This Row],[Activity]],Types_of_Activity[Type of Activity],Types_of_Activity[Classification])=2,Term1_Special_Day_3[[#This Row],[Elapsed]],0))</f>
        <v/>
      </c>
    </row>
    <row r="125" spans="2:21" x14ac:dyDescent="0.3">
      <c r="B125" s="135"/>
      <c r="C125" s="135"/>
      <c r="D125" s="102"/>
      <c r="E125" s="105" t="str">
        <f>IF(OR(ISBLANK(Term1_Special_Day_1[[#This Row],[Start]]),ISBLANK(Term1_Special_Day_1[[#This Row],[End]])),"",(Term1_Special_Day_1[[#This Row],[End]]-Term1_Special_Day_1[[#This Row],[Start]])*1440)</f>
        <v/>
      </c>
      <c r="F125" s="105" t="str">
        <f>IF(ISBLANK(Term1_Special_Day_1[[#This Row],[Activity]]),"",IF(_xlfn.XLOOKUP(Term1_Special_Day_1[[#This Row],[Activity]],Types_of_Activity[Type of Activity],Types_of_Activity[Classification])=1,Term1_Special_Day_1[[#This Row],[Elapsed]],0))</f>
        <v/>
      </c>
      <c r="G125" s="105" t="str">
        <f>IF(ISBLANK(Term1_Special_Day_1[[#This Row],[Activity]]),"",IF(_xlfn.XLOOKUP(Term1_Special_Day_1[[#This Row],[Activity]],Types_of_Activity[Type of Activity],Types_of_Activity[Classification])=2,Term1_Special_Day_1[[#This Row],[Elapsed]],0))</f>
        <v/>
      </c>
      <c r="H125"/>
      <c r="I125" s="135"/>
      <c r="J125" s="135"/>
      <c r="K125" s="102"/>
      <c r="L125" s="105" t="str">
        <f>IF(OR(ISBLANK(Term1_Special_Day_2[[#This Row],[Start]]),ISBLANK(Term1_Special_Day_2[[#This Row],[End]])),"",(Term1_Special_Day_2[[#This Row],[End]]-Term1_Special_Day_2[[#This Row],[Start]])*1440)</f>
        <v/>
      </c>
      <c r="M125" s="105" t="str">
        <f>IF(ISBLANK(Term1_Special_Day_2[[#This Row],[Activity]]),"",IF(_xlfn.XLOOKUP(Term1_Special_Day_2[[#This Row],[Activity]],Types_of_Activity[Type of Activity],Types_of_Activity[Classification])=1,Term1_Special_Day_2[[#This Row],[Elapsed]],0))</f>
        <v/>
      </c>
      <c r="N125" s="105" t="str">
        <f>IF(ISBLANK(Term1_Special_Day_2[[#This Row],[Activity]]),"",IF(_xlfn.XLOOKUP(Term1_Special_Day_2[[#This Row],[Activity]],Types_of_Activity[Type of Activity],Types_of_Activity[Classification])=2,Term1_Special_Day_2[[#This Row],[Elapsed]],0))</f>
        <v/>
      </c>
      <c r="O125"/>
      <c r="P125" s="135"/>
      <c r="Q125" s="135"/>
      <c r="R125" s="102"/>
      <c r="S125" s="105" t="str">
        <f>IF(OR(ISBLANK(Term1_Special_Day_3[[#This Row],[Start]]),ISBLANK(Term1_Special_Day_3[[#This Row],[End]])),"",(Term1_Special_Day_3[[#This Row],[End]]-Term1_Special_Day_3[[#This Row],[Start]])*1440)</f>
        <v/>
      </c>
      <c r="T125" s="105" t="str">
        <f>IF(ISBLANK(Term1_Special_Day_3[[#This Row],[Activity]]),"",IF(_xlfn.XLOOKUP(Term1_Special_Day_3[[#This Row],[Activity]],Types_of_Activity[Type of Activity],Types_of_Activity[Classification])=1,Term1_Special_Day_3[[#This Row],[Elapsed]],0))</f>
        <v/>
      </c>
      <c r="U125" s="105" t="str">
        <f>IF(ISBLANK(Term1_Special_Day_3[[#This Row],[Activity]]),"",IF(_xlfn.XLOOKUP(Term1_Special_Day_3[[#This Row],[Activity]],Types_of_Activity[Type of Activity],Types_of_Activity[Classification])=2,Term1_Special_Day_3[[#This Row],[Elapsed]],0))</f>
        <v/>
      </c>
    </row>
    <row r="126" spans="2:21" x14ac:dyDescent="0.3">
      <c r="B126" s="135"/>
      <c r="C126" s="135"/>
      <c r="D126" s="102"/>
      <c r="E126" s="105" t="str">
        <f>IF(OR(ISBLANK(Term1_Special_Day_1[[#This Row],[Start]]),ISBLANK(Term1_Special_Day_1[[#This Row],[End]])),"",(Term1_Special_Day_1[[#This Row],[End]]-Term1_Special_Day_1[[#This Row],[Start]])*1440)</f>
        <v/>
      </c>
      <c r="F126" s="105" t="str">
        <f>IF(ISBLANK(Term1_Special_Day_1[[#This Row],[Activity]]),"",IF(_xlfn.XLOOKUP(Term1_Special_Day_1[[#This Row],[Activity]],Types_of_Activity[Type of Activity],Types_of_Activity[Classification])=1,Term1_Special_Day_1[[#This Row],[Elapsed]],0))</f>
        <v/>
      </c>
      <c r="G126" s="105" t="str">
        <f>IF(ISBLANK(Term1_Special_Day_1[[#This Row],[Activity]]),"",IF(_xlfn.XLOOKUP(Term1_Special_Day_1[[#This Row],[Activity]],Types_of_Activity[Type of Activity],Types_of_Activity[Classification])=2,Term1_Special_Day_1[[#This Row],[Elapsed]],0))</f>
        <v/>
      </c>
      <c r="H126"/>
      <c r="I126" s="135"/>
      <c r="J126" s="135"/>
      <c r="K126" s="102"/>
      <c r="L126" s="105" t="str">
        <f>IF(OR(ISBLANK(Term1_Special_Day_2[[#This Row],[Start]]),ISBLANK(Term1_Special_Day_2[[#This Row],[End]])),"",(Term1_Special_Day_2[[#This Row],[End]]-Term1_Special_Day_2[[#This Row],[Start]])*1440)</f>
        <v/>
      </c>
      <c r="M126" s="105" t="str">
        <f>IF(ISBLANK(Term1_Special_Day_2[[#This Row],[Activity]]),"",IF(_xlfn.XLOOKUP(Term1_Special_Day_2[[#This Row],[Activity]],Types_of_Activity[Type of Activity],Types_of_Activity[Classification])=1,Term1_Special_Day_2[[#This Row],[Elapsed]],0))</f>
        <v/>
      </c>
      <c r="N126" s="105" t="str">
        <f>IF(ISBLANK(Term1_Special_Day_2[[#This Row],[Activity]]),"",IF(_xlfn.XLOOKUP(Term1_Special_Day_2[[#This Row],[Activity]],Types_of_Activity[Type of Activity],Types_of_Activity[Classification])=2,Term1_Special_Day_2[[#This Row],[Elapsed]],0))</f>
        <v/>
      </c>
      <c r="O126"/>
      <c r="P126" s="135"/>
      <c r="Q126" s="135"/>
      <c r="R126" s="102"/>
      <c r="S126" s="105" t="str">
        <f>IF(OR(ISBLANK(Term1_Special_Day_3[[#This Row],[Start]]),ISBLANK(Term1_Special_Day_3[[#This Row],[End]])),"",(Term1_Special_Day_3[[#This Row],[End]]-Term1_Special_Day_3[[#This Row],[Start]])*1440)</f>
        <v/>
      </c>
      <c r="T126" s="105" t="str">
        <f>IF(ISBLANK(Term1_Special_Day_3[[#This Row],[Activity]]),"",IF(_xlfn.XLOOKUP(Term1_Special_Day_3[[#This Row],[Activity]],Types_of_Activity[Type of Activity],Types_of_Activity[Classification])=1,Term1_Special_Day_3[[#This Row],[Elapsed]],0))</f>
        <v/>
      </c>
      <c r="U126" s="105" t="str">
        <f>IF(ISBLANK(Term1_Special_Day_3[[#This Row],[Activity]]),"",IF(_xlfn.XLOOKUP(Term1_Special_Day_3[[#This Row],[Activity]],Types_of_Activity[Type of Activity],Types_of_Activity[Classification])=2,Term1_Special_Day_3[[#This Row],[Elapsed]],0))</f>
        <v/>
      </c>
    </row>
    <row r="127" spans="2:21" x14ac:dyDescent="0.3">
      <c r="B127" s="135"/>
      <c r="C127" s="135"/>
      <c r="D127" s="102"/>
      <c r="E127" s="105" t="str">
        <f>IF(OR(ISBLANK(Term1_Special_Day_1[[#This Row],[Start]]),ISBLANK(Term1_Special_Day_1[[#This Row],[End]])),"",(Term1_Special_Day_1[[#This Row],[End]]-Term1_Special_Day_1[[#This Row],[Start]])*1440)</f>
        <v/>
      </c>
      <c r="F127" s="105" t="str">
        <f>IF(ISBLANK(Term1_Special_Day_1[[#This Row],[Activity]]),"",IF(_xlfn.XLOOKUP(Term1_Special_Day_1[[#This Row],[Activity]],Types_of_Activity[Type of Activity],Types_of_Activity[Classification])=1,Term1_Special_Day_1[[#This Row],[Elapsed]],0))</f>
        <v/>
      </c>
      <c r="G127" s="105" t="str">
        <f>IF(ISBLANK(Term1_Special_Day_1[[#This Row],[Activity]]),"",IF(_xlfn.XLOOKUP(Term1_Special_Day_1[[#This Row],[Activity]],Types_of_Activity[Type of Activity],Types_of_Activity[Classification])=2,Term1_Special_Day_1[[#This Row],[Elapsed]],0))</f>
        <v/>
      </c>
      <c r="H127"/>
      <c r="I127" s="135"/>
      <c r="J127" s="135"/>
      <c r="K127" s="102"/>
      <c r="L127" s="105" t="str">
        <f>IF(OR(ISBLANK(Term1_Special_Day_2[[#This Row],[Start]]),ISBLANK(Term1_Special_Day_2[[#This Row],[End]])),"",(Term1_Special_Day_2[[#This Row],[End]]-Term1_Special_Day_2[[#This Row],[Start]])*1440)</f>
        <v/>
      </c>
      <c r="M127" s="105" t="str">
        <f>IF(ISBLANK(Term1_Special_Day_2[[#This Row],[Activity]]),"",IF(_xlfn.XLOOKUP(Term1_Special_Day_2[[#This Row],[Activity]],Types_of_Activity[Type of Activity],Types_of_Activity[Classification])=1,Term1_Special_Day_2[[#This Row],[Elapsed]],0))</f>
        <v/>
      </c>
      <c r="N127" s="105" t="str">
        <f>IF(ISBLANK(Term1_Special_Day_2[[#This Row],[Activity]]),"",IF(_xlfn.XLOOKUP(Term1_Special_Day_2[[#This Row],[Activity]],Types_of_Activity[Type of Activity],Types_of_Activity[Classification])=2,Term1_Special_Day_2[[#This Row],[Elapsed]],0))</f>
        <v/>
      </c>
      <c r="O127"/>
      <c r="P127" s="135"/>
      <c r="Q127" s="135"/>
      <c r="R127" s="102"/>
      <c r="S127" s="105" t="str">
        <f>IF(OR(ISBLANK(Term1_Special_Day_3[[#This Row],[Start]]),ISBLANK(Term1_Special_Day_3[[#This Row],[End]])),"",(Term1_Special_Day_3[[#This Row],[End]]-Term1_Special_Day_3[[#This Row],[Start]])*1440)</f>
        <v/>
      </c>
      <c r="T127" s="105" t="str">
        <f>IF(ISBLANK(Term1_Special_Day_3[[#This Row],[Activity]]),"",IF(_xlfn.XLOOKUP(Term1_Special_Day_3[[#This Row],[Activity]],Types_of_Activity[Type of Activity],Types_of_Activity[Classification])=1,Term1_Special_Day_3[[#This Row],[Elapsed]],0))</f>
        <v/>
      </c>
      <c r="U127" s="105" t="str">
        <f>IF(ISBLANK(Term1_Special_Day_3[[#This Row],[Activity]]),"",IF(_xlfn.XLOOKUP(Term1_Special_Day_3[[#This Row],[Activity]],Types_of_Activity[Type of Activity],Types_of_Activity[Classification])=2,Term1_Special_Day_3[[#This Row],[Elapsed]],0))</f>
        <v/>
      </c>
    </row>
    <row r="128" spans="2:21" x14ac:dyDescent="0.3">
      <c r="B128" s="135"/>
      <c r="C128" s="135"/>
      <c r="D128" s="102"/>
      <c r="E128" s="105" t="str">
        <f>IF(OR(ISBLANK(Term1_Special_Day_1[[#This Row],[Start]]),ISBLANK(Term1_Special_Day_1[[#This Row],[End]])),"",(Term1_Special_Day_1[[#This Row],[End]]-Term1_Special_Day_1[[#This Row],[Start]])*1440)</f>
        <v/>
      </c>
      <c r="F128" s="105" t="str">
        <f>IF(ISBLANK(Term1_Special_Day_1[[#This Row],[Activity]]),"",IF(_xlfn.XLOOKUP(Term1_Special_Day_1[[#This Row],[Activity]],Types_of_Activity[Type of Activity],Types_of_Activity[Classification])=1,Term1_Special_Day_1[[#This Row],[Elapsed]],0))</f>
        <v/>
      </c>
      <c r="G128" s="105" t="str">
        <f>IF(ISBLANK(Term1_Special_Day_1[[#This Row],[Activity]]),"",IF(_xlfn.XLOOKUP(Term1_Special_Day_1[[#This Row],[Activity]],Types_of_Activity[Type of Activity],Types_of_Activity[Classification])=2,Term1_Special_Day_1[[#This Row],[Elapsed]],0))</f>
        <v/>
      </c>
      <c r="H128"/>
      <c r="I128" s="135"/>
      <c r="J128" s="135"/>
      <c r="K128" s="102"/>
      <c r="L128" s="105" t="str">
        <f>IF(OR(ISBLANK(Term1_Special_Day_2[[#This Row],[Start]]),ISBLANK(Term1_Special_Day_2[[#This Row],[End]])),"",(Term1_Special_Day_2[[#This Row],[End]]-Term1_Special_Day_2[[#This Row],[Start]])*1440)</f>
        <v/>
      </c>
      <c r="M128" s="105" t="str">
        <f>IF(ISBLANK(Term1_Special_Day_2[[#This Row],[Activity]]),"",IF(_xlfn.XLOOKUP(Term1_Special_Day_2[[#This Row],[Activity]],Types_of_Activity[Type of Activity],Types_of_Activity[Classification])=1,Term1_Special_Day_2[[#This Row],[Elapsed]],0))</f>
        <v/>
      </c>
      <c r="N128" s="105" t="str">
        <f>IF(ISBLANK(Term1_Special_Day_2[[#This Row],[Activity]]),"",IF(_xlfn.XLOOKUP(Term1_Special_Day_2[[#This Row],[Activity]],Types_of_Activity[Type of Activity],Types_of_Activity[Classification])=2,Term1_Special_Day_2[[#This Row],[Elapsed]],0))</f>
        <v/>
      </c>
      <c r="O128"/>
      <c r="P128" s="135"/>
      <c r="Q128" s="135"/>
      <c r="R128" s="102"/>
      <c r="S128" s="105" t="str">
        <f>IF(OR(ISBLANK(Term1_Special_Day_3[[#This Row],[Start]]),ISBLANK(Term1_Special_Day_3[[#This Row],[End]])),"",(Term1_Special_Day_3[[#This Row],[End]]-Term1_Special_Day_3[[#This Row],[Start]])*1440)</f>
        <v/>
      </c>
      <c r="T128" s="105" t="str">
        <f>IF(ISBLANK(Term1_Special_Day_3[[#This Row],[Activity]]),"",IF(_xlfn.XLOOKUP(Term1_Special_Day_3[[#This Row],[Activity]],Types_of_Activity[Type of Activity],Types_of_Activity[Classification])=1,Term1_Special_Day_3[[#This Row],[Elapsed]],0))</f>
        <v/>
      </c>
      <c r="U128" s="105" t="str">
        <f>IF(ISBLANK(Term1_Special_Day_3[[#This Row],[Activity]]),"",IF(_xlfn.XLOOKUP(Term1_Special_Day_3[[#This Row],[Activity]],Types_of_Activity[Type of Activity],Types_of_Activity[Classification])=2,Term1_Special_Day_3[[#This Row],[Elapsed]],0))</f>
        <v/>
      </c>
    </row>
    <row r="129" spans="2:21" x14ac:dyDescent="0.3">
      <c r="B129" s="135"/>
      <c r="C129" s="135"/>
      <c r="D129" s="102"/>
      <c r="E129" s="105" t="str">
        <f>IF(OR(ISBLANK(Term1_Special_Day_1[[#This Row],[Start]]),ISBLANK(Term1_Special_Day_1[[#This Row],[End]])),"",(Term1_Special_Day_1[[#This Row],[End]]-Term1_Special_Day_1[[#This Row],[Start]])*1440)</f>
        <v/>
      </c>
      <c r="F129" s="105" t="str">
        <f>IF(ISBLANK(Term1_Special_Day_1[[#This Row],[Activity]]),"",IF(_xlfn.XLOOKUP(Term1_Special_Day_1[[#This Row],[Activity]],Types_of_Activity[Type of Activity],Types_of_Activity[Classification])=1,Term1_Special_Day_1[[#This Row],[Elapsed]],0))</f>
        <v/>
      </c>
      <c r="G129" s="105" t="str">
        <f>IF(ISBLANK(Term1_Special_Day_1[[#This Row],[Activity]]),"",IF(_xlfn.XLOOKUP(Term1_Special_Day_1[[#This Row],[Activity]],Types_of_Activity[Type of Activity],Types_of_Activity[Classification])=2,Term1_Special_Day_1[[#This Row],[Elapsed]],0))</f>
        <v/>
      </c>
      <c r="H129"/>
      <c r="I129" s="135"/>
      <c r="J129" s="135"/>
      <c r="K129" s="102"/>
      <c r="L129" s="105" t="str">
        <f>IF(OR(ISBLANK(Term1_Special_Day_2[[#This Row],[Start]]),ISBLANK(Term1_Special_Day_2[[#This Row],[End]])),"",(Term1_Special_Day_2[[#This Row],[End]]-Term1_Special_Day_2[[#This Row],[Start]])*1440)</f>
        <v/>
      </c>
      <c r="M129" s="105" t="str">
        <f>IF(ISBLANK(Term1_Special_Day_2[[#This Row],[Activity]]),"",IF(_xlfn.XLOOKUP(Term1_Special_Day_2[[#This Row],[Activity]],Types_of_Activity[Type of Activity],Types_of_Activity[Classification])=1,Term1_Special_Day_2[[#This Row],[Elapsed]],0))</f>
        <v/>
      </c>
      <c r="N129" s="105" t="str">
        <f>IF(ISBLANK(Term1_Special_Day_2[[#This Row],[Activity]]),"",IF(_xlfn.XLOOKUP(Term1_Special_Day_2[[#This Row],[Activity]],Types_of_Activity[Type of Activity],Types_of_Activity[Classification])=2,Term1_Special_Day_2[[#This Row],[Elapsed]],0))</f>
        <v/>
      </c>
      <c r="O129"/>
      <c r="P129" s="135"/>
      <c r="Q129" s="135"/>
      <c r="R129" s="102"/>
      <c r="S129" s="105" t="str">
        <f>IF(OR(ISBLANK(Term1_Special_Day_3[[#This Row],[Start]]),ISBLANK(Term1_Special_Day_3[[#This Row],[End]])),"",(Term1_Special_Day_3[[#This Row],[End]]-Term1_Special_Day_3[[#This Row],[Start]])*1440)</f>
        <v/>
      </c>
      <c r="T129" s="105" t="str">
        <f>IF(ISBLANK(Term1_Special_Day_3[[#This Row],[Activity]]),"",IF(_xlfn.XLOOKUP(Term1_Special_Day_3[[#This Row],[Activity]],Types_of_Activity[Type of Activity],Types_of_Activity[Classification])=1,Term1_Special_Day_3[[#This Row],[Elapsed]],0))</f>
        <v/>
      </c>
      <c r="U129" s="105" t="str">
        <f>IF(ISBLANK(Term1_Special_Day_3[[#This Row],[Activity]]),"",IF(_xlfn.XLOOKUP(Term1_Special_Day_3[[#This Row],[Activity]],Types_of_Activity[Type of Activity],Types_of_Activity[Classification])=2,Term1_Special_Day_3[[#This Row],[Elapsed]],0))</f>
        <v/>
      </c>
    </row>
    <row r="130" spans="2:21" x14ac:dyDescent="0.3">
      <c r="B130" s="135"/>
      <c r="C130" s="135"/>
      <c r="D130" s="102"/>
      <c r="E130" s="105" t="str">
        <f>IF(OR(ISBLANK(Term1_Special_Day_1[[#This Row],[Start]]),ISBLANK(Term1_Special_Day_1[[#This Row],[End]])),"",(Term1_Special_Day_1[[#This Row],[End]]-Term1_Special_Day_1[[#This Row],[Start]])*1440)</f>
        <v/>
      </c>
      <c r="F130" s="105" t="str">
        <f>IF(ISBLANK(Term1_Special_Day_1[[#This Row],[Activity]]),"",IF(_xlfn.XLOOKUP(Term1_Special_Day_1[[#This Row],[Activity]],Types_of_Activity[Type of Activity],Types_of_Activity[Classification])=1,Term1_Special_Day_1[[#This Row],[Elapsed]],0))</f>
        <v/>
      </c>
      <c r="G130" s="105" t="str">
        <f>IF(ISBLANK(Term1_Special_Day_1[[#This Row],[Activity]]),"",IF(_xlfn.XLOOKUP(Term1_Special_Day_1[[#This Row],[Activity]],Types_of_Activity[Type of Activity],Types_of_Activity[Classification])=2,Term1_Special_Day_1[[#This Row],[Elapsed]],0))</f>
        <v/>
      </c>
      <c r="H130"/>
      <c r="I130" s="135"/>
      <c r="J130" s="135"/>
      <c r="K130" s="102"/>
      <c r="L130" s="105" t="str">
        <f>IF(OR(ISBLANK(Term1_Special_Day_2[[#This Row],[Start]]),ISBLANK(Term1_Special_Day_2[[#This Row],[End]])),"",(Term1_Special_Day_2[[#This Row],[End]]-Term1_Special_Day_2[[#This Row],[Start]])*1440)</f>
        <v/>
      </c>
      <c r="M130" s="105" t="str">
        <f>IF(ISBLANK(Term1_Special_Day_2[[#This Row],[Activity]]),"",IF(_xlfn.XLOOKUP(Term1_Special_Day_2[[#This Row],[Activity]],Types_of_Activity[Type of Activity],Types_of_Activity[Classification])=1,Term1_Special_Day_2[[#This Row],[Elapsed]],0))</f>
        <v/>
      </c>
      <c r="N130" s="105" t="str">
        <f>IF(ISBLANK(Term1_Special_Day_2[[#This Row],[Activity]]),"",IF(_xlfn.XLOOKUP(Term1_Special_Day_2[[#This Row],[Activity]],Types_of_Activity[Type of Activity],Types_of_Activity[Classification])=2,Term1_Special_Day_2[[#This Row],[Elapsed]],0))</f>
        <v/>
      </c>
      <c r="O130"/>
      <c r="P130" s="135"/>
      <c r="Q130" s="135"/>
      <c r="R130" s="102"/>
      <c r="S130" s="105" t="str">
        <f>IF(OR(ISBLANK(Term1_Special_Day_3[[#This Row],[Start]]),ISBLANK(Term1_Special_Day_3[[#This Row],[End]])),"",(Term1_Special_Day_3[[#This Row],[End]]-Term1_Special_Day_3[[#This Row],[Start]])*1440)</f>
        <v/>
      </c>
      <c r="T130" s="105" t="str">
        <f>IF(ISBLANK(Term1_Special_Day_3[[#This Row],[Activity]]),"",IF(_xlfn.XLOOKUP(Term1_Special_Day_3[[#This Row],[Activity]],Types_of_Activity[Type of Activity],Types_of_Activity[Classification])=1,Term1_Special_Day_3[[#This Row],[Elapsed]],0))</f>
        <v/>
      </c>
      <c r="U130" s="105" t="str">
        <f>IF(ISBLANK(Term1_Special_Day_3[[#This Row],[Activity]]),"",IF(_xlfn.XLOOKUP(Term1_Special_Day_3[[#This Row],[Activity]],Types_of_Activity[Type of Activity],Types_of_Activity[Classification])=2,Term1_Special_Day_3[[#This Row],[Elapsed]],0))</f>
        <v/>
      </c>
    </row>
    <row r="131" spans="2:21" x14ac:dyDescent="0.3">
      <c r="B131" s="135"/>
      <c r="C131" s="135"/>
      <c r="D131" s="102"/>
      <c r="E131" s="105" t="str">
        <f>IF(OR(ISBLANK(Term1_Special_Day_1[[#This Row],[Start]]),ISBLANK(Term1_Special_Day_1[[#This Row],[End]])),"",(Term1_Special_Day_1[[#This Row],[End]]-Term1_Special_Day_1[[#This Row],[Start]])*1440)</f>
        <v/>
      </c>
      <c r="F131" s="105" t="str">
        <f>IF(ISBLANK(Term1_Special_Day_1[[#This Row],[Activity]]),"",IF(_xlfn.XLOOKUP(Term1_Special_Day_1[[#This Row],[Activity]],Types_of_Activity[Type of Activity],Types_of_Activity[Classification])=1,Term1_Special_Day_1[[#This Row],[Elapsed]],0))</f>
        <v/>
      </c>
      <c r="G131" s="105" t="str">
        <f>IF(ISBLANK(Term1_Special_Day_1[[#This Row],[Activity]]),"",IF(_xlfn.XLOOKUP(Term1_Special_Day_1[[#This Row],[Activity]],Types_of_Activity[Type of Activity],Types_of_Activity[Classification])=2,Term1_Special_Day_1[[#This Row],[Elapsed]],0))</f>
        <v/>
      </c>
      <c r="H131"/>
      <c r="I131" s="135"/>
      <c r="J131" s="135"/>
      <c r="K131" s="102"/>
      <c r="L131" s="105" t="str">
        <f>IF(OR(ISBLANK(Term1_Special_Day_2[[#This Row],[Start]]),ISBLANK(Term1_Special_Day_2[[#This Row],[End]])),"",(Term1_Special_Day_2[[#This Row],[End]]-Term1_Special_Day_2[[#This Row],[Start]])*1440)</f>
        <v/>
      </c>
      <c r="M131" s="105" t="str">
        <f>IF(ISBLANK(Term1_Special_Day_2[[#This Row],[Activity]]),"",IF(_xlfn.XLOOKUP(Term1_Special_Day_2[[#This Row],[Activity]],Types_of_Activity[Type of Activity],Types_of_Activity[Classification])=1,Term1_Special_Day_2[[#This Row],[Elapsed]],0))</f>
        <v/>
      </c>
      <c r="N131" s="105" t="str">
        <f>IF(ISBLANK(Term1_Special_Day_2[[#This Row],[Activity]]),"",IF(_xlfn.XLOOKUP(Term1_Special_Day_2[[#This Row],[Activity]],Types_of_Activity[Type of Activity],Types_of_Activity[Classification])=2,Term1_Special_Day_2[[#This Row],[Elapsed]],0))</f>
        <v/>
      </c>
      <c r="O131"/>
      <c r="P131" s="135"/>
      <c r="Q131" s="135"/>
      <c r="R131" s="102"/>
      <c r="S131" s="105" t="str">
        <f>IF(OR(ISBLANK(Term1_Special_Day_3[[#This Row],[Start]]),ISBLANK(Term1_Special_Day_3[[#This Row],[End]])),"",(Term1_Special_Day_3[[#This Row],[End]]-Term1_Special_Day_3[[#This Row],[Start]])*1440)</f>
        <v/>
      </c>
      <c r="T131" s="105" t="str">
        <f>IF(ISBLANK(Term1_Special_Day_3[[#This Row],[Activity]]),"",IF(_xlfn.XLOOKUP(Term1_Special_Day_3[[#This Row],[Activity]],Types_of_Activity[Type of Activity],Types_of_Activity[Classification])=1,Term1_Special_Day_3[[#This Row],[Elapsed]],0))</f>
        <v/>
      </c>
      <c r="U131" s="105" t="str">
        <f>IF(ISBLANK(Term1_Special_Day_3[[#This Row],[Activity]]),"",IF(_xlfn.XLOOKUP(Term1_Special_Day_3[[#This Row],[Activity]],Types_of_Activity[Type of Activity],Types_of_Activity[Classification])=2,Term1_Special_Day_3[[#This Row],[Elapsed]],0))</f>
        <v/>
      </c>
    </row>
  </sheetData>
  <sheetProtection algorithmName="SHA-512" hashValue="lscuBtJVqUpslajD/iZvsDTaEH3LSMTfM/sqrh6GZxOsRTGG/V++uEYQz/0PKbw0RiElJojgqSIuo2gGM7msnw==" saltValue="yQiQYXtK9nOKj+nlzzMyfA==" spinCount="100000" sheet="1" selectLockedCells="1"/>
  <dataValidations count="1">
    <dataValidation type="time" allowBlank="1" showInputMessage="1" showErrorMessage="1" sqref="AD18:AE31 B18:C50 AY18:AZ31 P18:Q31 W18:X31 I18:J31 BF18:BG31 B57:C69 AK18:AL31 AR18:AS31 BM18:BN31 W57:X69 AD57:AE69 AK57:AL69" xr:uid="{804487EC-68EA-4CD9-9E57-4AA648BCB1E0}">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26F22660-6BD0-46FF-A475-25A3252E9528}">
          <x14:formula1>
            <xm:f>_xlfn.ANCHORARRAY(Parameters!$F$25)</xm:f>
          </x14:formula1>
          <xm:sqref>R99:R131 BA18:BA50 Y18:Y50 D18:D50 AF18:AF50 K18:K50 D57:D89 D99:D131 R57:R89 K57:K89 K99:K131 R18:R50 AM18:AM50 AT18:AT50 BH18:BH50 BO18:BO50 Y57:Y89 AF57:AF89 AM57:AM89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D6ED-1D4B-4D7C-B801-E29D06198B12}">
  <dimension ref="B14:BS131"/>
  <sheetViews>
    <sheetView showGridLines="0" showRowColHeaders="0" workbookViewId="0">
      <selection activeCell="C9" sqref="C9"/>
    </sheetView>
  </sheetViews>
  <sheetFormatPr defaultColWidth="9" defaultRowHeight="14.4" x14ac:dyDescent="0.3"/>
  <cols>
    <col min="1" max="1" width="9" style="103"/>
    <col min="2" max="3" width="12.77734375" style="103" customWidth="1"/>
    <col min="4" max="4" width="19.6640625" style="103" customWidth="1"/>
    <col min="5" max="5" width="12.6640625" style="103" customWidth="1"/>
    <col min="6" max="7" width="19.77734375" style="103" customWidth="1"/>
    <col min="8" max="8" width="9" style="103"/>
    <col min="9" max="10" width="12.77734375" style="103" customWidth="1"/>
    <col min="11" max="11" width="19.6640625" style="103" customWidth="1"/>
    <col min="12" max="12" width="12.6640625" style="103" customWidth="1"/>
    <col min="13" max="14" width="19.77734375" style="103" customWidth="1"/>
    <col min="15" max="15" width="9" style="103"/>
    <col min="16" max="17" width="12.77734375" style="103" customWidth="1"/>
    <col min="18" max="18" width="19.6640625" style="103" customWidth="1"/>
    <col min="19" max="19" width="12.6640625" style="103" customWidth="1"/>
    <col min="20" max="21" width="19.77734375" style="103" customWidth="1"/>
    <col min="22" max="22" width="10.33203125" style="103" customWidth="1"/>
    <col min="23" max="24" width="12.77734375" style="103" customWidth="1"/>
    <col min="25" max="25" width="19.6640625" style="103" customWidth="1"/>
    <col min="26" max="26" width="12.6640625" style="103" customWidth="1"/>
    <col min="27" max="28" width="19.77734375" style="103" customWidth="1"/>
    <col min="29" max="29" width="9" style="103"/>
    <col min="30" max="31" width="12.77734375" style="103" customWidth="1"/>
    <col min="32" max="32" width="19.6640625" style="103" customWidth="1"/>
    <col min="33" max="33" width="12.6640625" style="103" customWidth="1"/>
    <col min="34" max="35" width="19.77734375" style="103" customWidth="1"/>
    <col min="36" max="36" width="9" style="103" customWidth="1"/>
    <col min="37" max="38" width="12.77734375" style="103" customWidth="1"/>
    <col min="39" max="39" width="19.6640625" style="103" customWidth="1"/>
    <col min="40" max="40" width="12.6640625" style="103" customWidth="1"/>
    <col min="41" max="42" width="19.77734375" style="103" customWidth="1"/>
    <col min="43" max="43" width="9" style="103" customWidth="1"/>
    <col min="44" max="45" width="12.77734375" style="103" customWidth="1"/>
    <col min="46" max="46" width="19.6640625" style="103" customWidth="1"/>
    <col min="47" max="47" width="12.77734375" style="103" customWidth="1"/>
    <col min="48" max="49" width="19.6640625" style="103" customWidth="1"/>
    <col min="50" max="50" width="9" style="103" customWidth="1"/>
    <col min="51" max="52" width="12.77734375" style="103" customWidth="1"/>
    <col min="53" max="53" width="19.6640625" style="103" customWidth="1"/>
    <col min="54" max="54" width="9" style="103" customWidth="1"/>
    <col min="55" max="56" width="19.6640625" style="103" customWidth="1"/>
    <col min="57" max="57" width="9" style="103" customWidth="1"/>
    <col min="58" max="59" width="12.77734375" style="103" customWidth="1"/>
    <col min="60" max="60" width="19.6640625" style="103" customWidth="1"/>
    <col min="61" max="61" width="12.77734375" style="103" customWidth="1"/>
    <col min="62" max="63" width="19.6640625" style="103" customWidth="1"/>
    <col min="64" max="64" width="9" style="103" customWidth="1"/>
    <col min="65" max="66" width="12.77734375" style="103" customWidth="1"/>
    <col min="67" max="67" width="19.6640625" style="103" customWidth="1"/>
    <col min="68" max="68" width="12.6640625" style="103" customWidth="1"/>
    <col min="69" max="70" width="19.77734375" style="103" customWidth="1"/>
    <col min="71" max="71" width="9" style="103" customWidth="1"/>
    <col min="72" max="74" width="12.6640625" style="103" customWidth="1"/>
    <col min="75" max="75" width="18.6640625" style="103" customWidth="1"/>
    <col min="76" max="76" width="20.6640625" style="103" customWidth="1"/>
    <col min="77" max="77" width="18.44140625" style="103" customWidth="1"/>
    <col min="78" max="81" width="9" style="103"/>
    <col min="82" max="82" width="12.109375" style="103" customWidth="1"/>
    <col min="83" max="83" width="16.21875" style="103" customWidth="1"/>
    <col min="84" max="16384" width="9" style="103"/>
  </cols>
  <sheetData>
    <row r="14" spans="2:70" ht="25.8" x14ac:dyDescent="0.5">
      <c r="B14" s="167" t="str">
        <f>IF(Num_Terms = 1, "STOP. You indicated that your school uses only 1 term. If you have more than 1 term, update the settings on the first sheet.","")</f>
        <v/>
      </c>
      <c r="C14" s="167"/>
      <c r="D14" s="167"/>
      <c r="E14" s="167"/>
      <c r="F14" s="167"/>
      <c r="G14" s="167"/>
      <c r="H14" s="167"/>
      <c r="I14" s="167"/>
      <c r="J14" s="167"/>
      <c r="K14" s="167"/>
      <c r="L14" s="167"/>
      <c r="M14" s="167"/>
      <c r="N14" s="167"/>
    </row>
    <row r="15" spans="2:70" ht="16.5" customHeight="1" x14ac:dyDescent="0.55000000000000004">
      <c r="B15" s="143"/>
    </row>
    <row r="16" spans="2:70" ht="30.6" x14ac:dyDescent="0.55000000000000004">
      <c r="B16" s="104" t="s">
        <v>9</v>
      </c>
      <c r="F16" s="105"/>
      <c r="G16" s="105"/>
      <c r="I16" s="104" t="s">
        <v>10</v>
      </c>
      <c r="M16" s="105"/>
      <c r="N16" s="105"/>
      <c r="P16" s="104" t="s">
        <v>11</v>
      </c>
      <c r="T16" s="105"/>
      <c r="U16" s="105"/>
      <c r="W16" s="104" t="s">
        <v>12</v>
      </c>
      <c r="AA16" s="105"/>
      <c r="AB16" s="105"/>
      <c r="AD16" s="104" t="s">
        <v>13</v>
      </c>
      <c r="AH16" s="105"/>
      <c r="AI16" s="105"/>
      <c r="AK16" s="104" t="s">
        <v>14</v>
      </c>
      <c r="AO16" s="105"/>
      <c r="AP16" s="105"/>
      <c r="AR16" s="104" t="s">
        <v>4099</v>
      </c>
      <c r="AV16" s="105"/>
      <c r="AW16" s="105"/>
      <c r="AY16" s="104" t="s">
        <v>4100</v>
      </c>
      <c r="BC16" s="105"/>
      <c r="BD16" s="105"/>
      <c r="BF16" s="104" t="s">
        <v>4101</v>
      </c>
      <c r="BJ16" s="105"/>
      <c r="BK16" s="105"/>
      <c r="BM16" s="104" t="s">
        <v>15</v>
      </c>
      <c r="BQ16" s="105"/>
      <c r="BR16" s="105"/>
    </row>
    <row r="17" spans="2:71" ht="28.8" x14ac:dyDescent="0.3">
      <c r="B17" s="119" t="s">
        <v>16</v>
      </c>
      <c r="C17" s="119" t="s">
        <v>17</v>
      </c>
      <c r="D17" s="119" t="s">
        <v>19</v>
      </c>
      <c r="E17" s="119" t="s">
        <v>18</v>
      </c>
      <c r="F17" s="119" t="s">
        <v>20</v>
      </c>
      <c r="G17" s="120" t="s">
        <v>4075</v>
      </c>
      <c r="I17" s="119" t="s">
        <v>16</v>
      </c>
      <c r="J17" s="119" t="s">
        <v>17</v>
      </c>
      <c r="K17" s="119" t="s">
        <v>19</v>
      </c>
      <c r="L17" s="119" t="s">
        <v>18</v>
      </c>
      <c r="M17" s="119" t="s">
        <v>20</v>
      </c>
      <c r="N17" s="120" t="s">
        <v>4075</v>
      </c>
      <c r="P17" s="119" t="s">
        <v>16</v>
      </c>
      <c r="Q17" s="119" t="s">
        <v>17</v>
      </c>
      <c r="R17" s="119" t="s">
        <v>19</v>
      </c>
      <c r="S17" s="119" t="s">
        <v>18</v>
      </c>
      <c r="T17" s="119" t="s">
        <v>20</v>
      </c>
      <c r="U17" s="120" t="s">
        <v>4075</v>
      </c>
      <c r="W17" s="119" t="s">
        <v>16</v>
      </c>
      <c r="X17" s="119" t="s">
        <v>17</v>
      </c>
      <c r="Y17" s="119" t="s">
        <v>19</v>
      </c>
      <c r="Z17" s="119" t="s">
        <v>18</v>
      </c>
      <c r="AA17" s="119" t="s">
        <v>20</v>
      </c>
      <c r="AB17" s="120" t="s">
        <v>4075</v>
      </c>
      <c r="AD17" s="119" t="s">
        <v>16</v>
      </c>
      <c r="AE17" s="119" t="s">
        <v>17</v>
      </c>
      <c r="AF17" s="119" t="s">
        <v>19</v>
      </c>
      <c r="AG17" s="119" t="s">
        <v>18</v>
      </c>
      <c r="AH17" s="119" t="s">
        <v>20</v>
      </c>
      <c r="AI17" s="120" t="s">
        <v>4075</v>
      </c>
      <c r="AK17" s="119" t="s">
        <v>16</v>
      </c>
      <c r="AL17" s="119" t="s">
        <v>17</v>
      </c>
      <c r="AM17" s="119" t="s">
        <v>19</v>
      </c>
      <c r="AN17" s="119" t="s">
        <v>18</v>
      </c>
      <c r="AO17" s="119" t="s">
        <v>20</v>
      </c>
      <c r="AP17" s="120" t="s">
        <v>4075</v>
      </c>
      <c r="AR17" s="119" t="s">
        <v>16</v>
      </c>
      <c r="AS17" s="119" t="s">
        <v>17</v>
      </c>
      <c r="AT17" s="119" t="s">
        <v>19</v>
      </c>
      <c r="AU17" s="119" t="s">
        <v>18</v>
      </c>
      <c r="AV17" s="119" t="s">
        <v>20</v>
      </c>
      <c r="AW17" s="120" t="s">
        <v>4075</v>
      </c>
      <c r="AY17" s="119" t="s">
        <v>16</v>
      </c>
      <c r="AZ17" s="119" t="s">
        <v>17</v>
      </c>
      <c r="BA17" s="119" t="s">
        <v>19</v>
      </c>
      <c r="BB17" s="119" t="s">
        <v>18</v>
      </c>
      <c r="BC17" s="119" t="s">
        <v>20</v>
      </c>
      <c r="BD17" s="120" t="s">
        <v>4075</v>
      </c>
      <c r="BF17" s="119" t="s">
        <v>16</v>
      </c>
      <c r="BG17" s="119" t="s">
        <v>17</v>
      </c>
      <c r="BH17" s="119" t="s">
        <v>19</v>
      </c>
      <c r="BI17" s="119" t="s">
        <v>18</v>
      </c>
      <c r="BJ17" s="119" t="s">
        <v>20</v>
      </c>
      <c r="BK17" s="120" t="s">
        <v>4075</v>
      </c>
      <c r="BM17" s="119" t="s">
        <v>16</v>
      </c>
      <c r="BN17" s="119" t="s">
        <v>17</v>
      </c>
      <c r="BO17" s="119" t="s">
        <v>19</v>
      </c>
      <c r="BP17" s="119" t="s">
        <v>18</v>
      </c>
      <c r="BQ17" s="119" t="s">
        <v>20</v>
      </c>
      <c r="BR17" s="120" t="s">
        <v>4075</v>
      </c>
    </row>
    <row r="18" spans="2:71" x14ac:dyDescent="0.3">
      <c r="B18" s="135"/>
      <c r="C18" s="135"/>
      <c r="D18" s="102"/>
      <c r="E18" s="105" t="str">
        <f>IF(OR(ISBLANK(Term2_Day_1[[#This Row],[Start]]),ISBLANK(Term2_Day_1[[#This Row],[End]])),"",(Term2_Day_1[[#This Row],[End]]-Term2_Day_1[[#This Row],[Start]])*1440)</f>
        <v/>
      </c>
      <c r="F18" s="105" t="str">
        <f>IF(ISBLANK(Term2_Day_1[[#This Row],[Activity]]),"",IF(_xlfn.XLOOKUP(Term2_Day_1[[#This Row],[Activity]],Types_of_Activity[Type of Activity],Types_of_Activity[Classification])=1,Term2_Day_1[[#This Row],[Elapsed]],0))</f>
        <v/>
      </c>
      <c r="G18" s="105" t="str">
        <f>IF(ISBLANK(Term2_Day_1[[#This Row],[Activity]]),"",IF(_xlfn.XLOOKUP(Term2_Day_1[[#This Row],[Activity]],Types_of_Activity[Type of Activity],Types_of_Activity[Classification])=2,Term2_Day_1[[#This Row],[Elapsed]],0))</f>
        <v/>
      </c>
      <c r="I18" s="135"/>
      <c r="J18" s="135"/>
      <c r="K18" s="102"/>
      <c r="L18" s="105" t="str">
        <f>IF(OR(ISBLANK(Term2_Day_2[[#This Row],[Start]]),ISBLANK(Term2_Day_2[[#This Row],[End]])),"",(Term2_Day_2[[#This Row],[End]]-Term2_Day_2[[#This Row],[Start]])*1440)</f>
        <v/>
      </c>
      <c r="M18" s="105" t="str">
        <f>IF(ISBLANK(Term2_Day_2[[#This Row],[Activity]]),"",IF(_xlfn.XLOOKUP(Term2_Day_2[[#This Row],[Activity]],Types_of_Activity[Type of Activity],Types_of_Activity[Classification])=1,Term2_Day_2[[#This Row],[Elapsed]],0))</f>
        <v/>
      </c>
      <c r="N18" s="105" t="str">
        <f>IF(ISBLANK(Term2_Day_2[[#This Row],[Activity]]),"",IF(_xlfn.XLOOKUP(Term2_Day_2[[#This Row],[Activity]],Types_of_Activity[Type of Activity],Types_of_Activity[Classification])=2,Term2_Day_2[[#This Row],[Elapsed]],0))</f>
        <v/>
      </c>
      <c r="P18" s="135"/>
      <c r="Q18" s="135"/>
      <c r="R18" s="102"/>
      <c r="S18" s="105" t="str">
        <f>IF(OR(ISBLANK(Term2_Day_3[[#This Row],[Start]]),ISBLANK(Term2_Day_3[[#This Row],[End]])),"",(Term2_Day_3[[#This Row],[End]]-Term2_Day_3[[#This Row],[Start]])*1440)</f>
        <v/>
      </c>
      <c r="T18" s="105" t="str">
        <f>IF(ISBLANK(Term2_Day_3[[#This Row],[Activity]]),"",IF(_xlfn.XLOOKUP(Term2_Day_3[[#This Row],[Activity]],Types_of_Activity[Type of Activity],Types_of_Activity[Classification])=1,Term2_Day_3[[#This Row],[Elapsed]],0))</f>
        <v/>
      </c>
      <c r="U18" s="105" t="str">
        <f>IF(ISBLANK(Term2_Day_3[[#This Row],[Activity]]),"",IF(_xlfn.XLOOKUP(Term2_Day_3[[#This Row],[Activity]],Types_of_Activity[Type of Activity],Types_of_Activity[Classification])=2,Term2_Day_3[[#This Row],[Elapsed]],0))</f>
        <v/>
      </c>
      <c r="W18" s="135"/>
      <c r="X18" s="135"/>
      <c r="Y18" s="102"/>
      <c r="Z18" s="105" t="str">
        <f>IF(OR(ISBLANK(Term2_Day_4[[#This Row],[Start]]),ISBLANK(Term2_Day_4[[#This Row],[End]])),"",(Term2_Day_4[[#This Row],[End]]-Term2_Day_4[[#This Row],[Start]])*1440)</f>
        <v/>
      </c>
      <c r="AA18" s="105" t="str">
        <f>IF(ISBLANK(Term2_Day_4[[#This Row],[Activity]]),"",IF(_xlfn.XLOOKUP(Term2_Day_4[[#This Row],[Activity]],Types_of_Activity[Type of Activity],Types_of_Activity[Classification])=1,Term2_Day_4[[#This Row],[Elapsed]],0))</f>
        <v/>
      </c>
      <c r="AB18" s="105" t="str">
        <f>IF(ISBLANK(Term2_Day_4[[#This Row],[Activity]]),"",IF(_xlfn.XLOOKUP(Term2_Day_4[[#This Row],[Activity]],Types_of_Activity[Type of Activity],Types_of_Activity[Classification])=2,Term2_Day_4[[#This Row],[Elapsed]],0))</f>
        <v/>
      </c>
      <c r="AD18" s="135"/>
      <c r="AE18" s="135"/>
      <c r="AF18" s="102"/>
      <c r="AG18" s="105" t="str">
        <f>IF(OR(ISBLANK(Term2_Day_5[[#This Row],[Start]]),ISBLANK(Term2_Day_5[[#This Row],[End]])),"",(Term2_Day_5[[#This Row],[End]]-Term2_Day_5[[#This Row],[Start]])*1440)</f>
        <v/>
      </c>
      <c r="AH18" s="105" t="str">
        <f>IF(ISBLANK(Term2_Day_5[[#This Row],[Activity]]),"",IF(_xlfn.XLOOKUP(Term2_Day_5[[#This Row],[Activity]],Types_of_Activity[Type of Activity],Types_of_Activity[Classification])=1,Term2_Day_5[[#This Row],[Elapsed]],0))</f>
        <v/>
      </c>
      <c r="AI18" s="105" t="str">
        <f>IF(ISBLANK(Term2_Day_5[[#This Row],[Activity]]),"",IF(_xlfn.XLOOKUP(Term2_Day_5[[#This Row],[Activity]],Types_of_Activity[Type of Activity],Types_of_Activity[Classification])=2,Term2_Day_5[[#This Row],[Elapsed]],0))</f>
        <v/>
      </c>
      <c r="AK18" s="135"/>
      <c r="AL18" s="135"/>
      <c r="AM18" s="102"/>
      <c r="AN18" s="105" t="str">
        <f>IF(OR(ISBLANK(Term2_Day_6[[#This Row],[Start]]),ISBLANK(Term2_Day_6[[#This Row],[End]])),"",(Term2_Day_6[[#This Row],[End]]-Term2_Day_6[[#This Row],[Start]])*1440)</f>
        <v/>
      </c>
      <c r="AO18" s="105" t="str">
        <f>IF(ISBLANK(Term2_Day_6[[#This Row],[Activity]]),"",IF(_xlfn.XLOOKUP(Term2_Day_6[[#This Row],[Activity]],Types_of_Activity[Type of Activity],Types_of_Activity[Classification])=1,Term2_Day_6[[#This Row],[Elapsed]],0))</f>
        <v/>
      </c>
      <c r="AP18" s="105" t="str">
        <f>IF(ISBLANK(Term2_Day_6[[#This Row],[Activity]]),"",IF(_xlfn.XLOOKUP(Term2_Day_6[[#This Row],[Activity]],Types_of_Activity[Type of Activity],Types_of_Activity[Classification])=2,Term2_Day_6[[#This Row],[Elapsed]],0))</f>
        <v/>
      </c>
      <c r="AR18" s="135"/>
      <c r="AS18" s="135"/>
      <c r="AT18" s="102"/>
      <c r="AU18" s="105" t="str">
        <f>IF(OR(ISBLANK(Term2_Day_7[[#This Row],[Start]]),ISBLANK(Term2_Day_7[[#This Row],[End]])),"",(Term2_Day_7[[#This Row],[End]]-Term2_Day_7[[#This Row],[Start]])*1440)</f>
        <v/>
      </c>
      <c r="AV18" s="105" t="str">
        <f>IF(ISBLANK(Term2_Day_7[[#This Row],[Activity]]),"",IF(_xlfn.XLOOKUP(Term2_Day_7[[#This Row],[Activity]],Types_of_Activity[Type of Activity],Types_of_Activity[Classification])=1,Term2_Day_7[[#This Row],[Elapsed]],0))</f>
        <v/>
      </c>
      <c r="AW18" s="105" t="str">
        <f>IF(ISBLANK(Term2_Day_7[[#This Row],[Activity]]),"",IF(_xlfn.XLOOKUP(Term2_Day_7[[#This Row],[Activity]],Types_of_Activity[Type of Activity],Types_of_Activity[Classification])=2,Term2_Day_7[[#This Row],[Elapsed]],0))</f>
        <v/>
      </c>
      <c r="AY18" s="135"/>
      <c r="AZ18" s="135"/>
      <c r="BA18" s="102"/>
      <c r="BB18" s="105" t="str">
        <f>IF(OR(ISBLANK(Term2_Day_8[[#This Row],[Start]]),ISBLANK(Term2_Day_8[[#This Row],[End]])),"",(Term2_Day_8[[#This Row],[End]]-Term2_Day_8[[#This Row],[Start]])*1440)</f>
        <v/>
      </c>
      <c r="BC18" s="105" t="str">
        <f>IF(ISBLANK(Term2_Day_8[[#This Row],[Activity]]),"",IF(_xlfn.XLOOKUP(Term2_Day_8[[#This Row],[Activity]],Types_of_Activity[Type of Activity],Types_of_Activity[Classification])=1,Term2_Day_8[[#This Row],[Elapsed]],0))</f>
        <v/>
      </c>
      <c r="BD18" s="105" t="str">
        <f>IF(ISBLANK(Term2_Day_8[[#This Row],[Activity]]),"",IF(_xlfn.XLOOKUP(Term2_Day_8[[#This Row],[Activity]],Types_of_Activity[Type of Activity],Types_of_Activity[Classification])=2,Term2_Day_8[[#This Row],[Elapsed]],0))</f>
        <v/>
      </c>
      <c r="BF18" s="135"/>
      <c r="BG18" s="135"/>
      <c r="BH18" s="102"/>
      <c r="BI18" s="105" t="str">
        <f>IF(OR(ISBLANK(Term2_Day_9[[#This Row],[Start]]),ISBLANK(Term2_Day_9[[#This Row],[End]])),"",(Term2_Day_9[[#This Row],[End]]-Term2_Day_9[[#This Row],[Start]])*1440)</f>
        <v/>
      </c>
      <c r="BJ18" s="105" t="str">
        <f>IF(ISBLANK(Term2_Day_9[[#This Row],[Activity]]),"",IF(_xlfn.XLOOKUP(Term2_Day_9[[#This Row],[Activity]],Types_of_Activity[Type of Activity],Types_of_Activity[Classification])=1,Term2_Day_9[[#This Row],[Elapsed]],0))</f>
        <v/>
      </c>
      <c r="BK18" s="105" t="str">
        <f>IF(ISBLANK(Term2_Day_9[[#This Row],[Activity]]),"",IF(_xlfn.XLOOKUP(Term2_Day_9[[#This Row],[Activity]],Types_of_Activity[Type of Activity],Types_of_Activity[Classification])=2,Term2_Day_9[[#This Row],[Elapsed]],0))</f>
        <v/>
      </c>
      <c r="BM18" s="135"/>
      <c r="BN18" s="135"/>
      <c r="BO18" s="102"/>
      <c r="BP18" s="105" t="str">
        <f>IF(OR(ISBLANK(Term2_Day_10[[#This Row],[Start]]),ISBLANK(Term2_Day_10[[#This Row],[End]])),"",(Term2_Day_10[[#This Row],[End]]-Term2_Day_10[[#This Row],[Start]])*1440)</f>
        <v/>
      </c>
      <c r="BQ18" s="105" t="str">
        <f>IF(ISBLANK(Term2_Day_10[[#This Row],[Activity]]),"",IF(_xlfn.XLOOKUP(Term2_Day_10[[#This Row],[Activity]],Types_of_Activity[Type of Activity],Types_of_Activity[Classification])=1,Term2_Day_10[[#This Row],[Elapsed]],0))</f>
        <v/>
      </c>
      <c r="BR18" s="105" t="str">
        <f>IF(ISBLANK(Term2_Day_10[[#This Row],[Activity]]),"",IF(_xlfn.XLOOKUP(Term2_Day_10[[#This Row],[Activity]],Types_of_Activity[Type of Activity],Types_of_Activity[Classification])=2,Term2_Day_10[[#This Row],[Elapsed]],0))</f>
        <v/>
      </c>
    </row>
    <row r="19" spans="2:71" x14ac:dyDescent="0.3">
      <c r="B19" s="135"/>
      <c r="C19" s="135"/>
      <c r="D19" s="102"/>
      <c r="E19" s="105" t="str">
        <f>IF(OR(ISBLANK(Term2_Day_1[[#This Row],[Start]]),ISBLANK(Term2_Day_1[[#This Row],[End]])),"",(Term2_Day_1[[#This Row],[End]]-Term2_Day_1[[#This Row],[Start]])*1440)</f>
        <v/>
      </c>
      <c r="F19" s="105" t="str">
        <f>IF(ISBLANK(Term2_Day_1[[#This Row],[Activity]]),"",IF(_xlfn.XLOOKUP(Term2_Day_1[[#This Row],[Activity]],Types_of_Activity[Type of Activity],Types_of_Activity[Classification])=1,Term2_Day_1[[#This Row],[Elapsed]],0))</f>
        <v/>
      </c>
      <c r="G19" s="105" t="str">
        <f>IF(ISBLANK(Term2_Day_1[[#This Row],[Activity]]),"",IF(_xlfn.XLOOKUP(Term2_Day_1[[#This Row],[Activity]],Types_of_Activity[Type of Activity],Types_of_Activity[Classification])=2,Term2_Day_1[[#This Row],[Elapsed]],0))</f>
        <v/>
      </c>
      <c r="I19" s="135"/>
      <c r="J19" s="135"/>
      <c r="K19" s="102"/>
      <c r="L19" s="105" t="str">
        <f>IF(OR(ISBLANK(Term2_Day_2[[#This Row],[Start]]),ISBLANK(Term2_Day_2[[#This Row],[End]])),"",(Term2_Day_2[[#This Row],[End]]-Term2_Day_2[[#This Row],[Start]])*1440)</f>
        <v/>
      </c>
      <c r="M19" s="105" t="str">
        <f>IF(ISBLANK(Term2_Day_2[[#This Row],[Activity]]),"",IF(_xlfn.XLOOKUP(Term2_Day_2[[#This Row],[Activity]],Types_of_Activity[Type of Activity],Types_of_Activity[Classification])=1,Term2_Day_2[[#This Row],[Elapsed]],0))</f>
        <v/>
      </c>
      <c r="N19" s="105" t="str">
        <f>IF(ISBLANK(Term2_Day_2[[#This Row],[Activity]]),"",IF(_xlfn.XLOOKUP(Term2_Day_2[[#This Row],[Activity]],Types_of_Activity[Type of Activity],Types_of_Activity[Classification])=2,Term2_Day_2[[#This Row],[Elapsed]],0))</f>
        <v/>
      </c>
      <c r="P19" s="135"/>
      <c r="Q19" s="135"/>
      <c r="R19" s="102"/>
      <c r="S19" s="105" t="str">
        <f>IF(OR(ISBLANK(Term2_Day_3[[#This Row],[Start]]),ISBLANK(Term2_Day_3[[#This Row],[End]])),"",(Term2_Day_3[[#This Row],[End]]-Term2_Day_3[[#This Row],[Start]])*1440)</f>
        <v/>
      </c>
      <c r="T19" s="105" t="str">
        <f>IF(ISBLANK(Term2_Day_3[[#This Row],[Activity]]),"",IF(_xlfn.XLOOKUP(Term2_Day_3[[#This Row],[Activity]],Types_of_Activity[Type of Activity],Types_of_Activity[Classification])=1,Term2_Day_3[[#This Row],[Elapsed]],0))</f>
        <v/>
      </c>
      <c r="U19" s="105" t="str">
        <f>IF(ISBLANK(Term2_Day_3[[#This Row],[Activity]]),"",IF(_xlfn.XLOOKUP(Term2_Day_3[[#This Row],[Activity]],Types_of_Activity[Type of Activity],Types_of_Activity[Classification])=2,Term2_Day_3[[#This Row],[Elapsed]],0))</f>
        <v/>
      </c>
      <c r="W19" s="135"/>
      <c r="X19" s="135"/>
      <c r="Y19" s="102"/>
      <c r="Z19" s="105" t="str">
        <f>IF(OR(ISBLANK(Term2_Day_4[[#This Row],[Start]]),ISBLANK(Term2_Day_4[[#This Row],[End]])),"",(Term2_Day_4[[#This Row],[End]]-Term2_Day_4[[#This Row],[Start]])*1440)</f>
        <v/>
      </c>
      <c r="AA19" s="105" t="str">
        <f>IF(ISBLANK(Term2_Day_4[[#This Row],[Activity]]),"",IF(_xlfn.XLOOKUP(Term2_Day_4[[#This Row],[Activity]],Types_of_Activity[Type of Activity],Types_of_Activity[Classification])=1,Term2_Day_4[[#This Row],[Elapsed]],0))</f>
        <v/>
      </c>
      <c r="AB19" s="105" t="str">
        <f>IF(ISBLANK(Term2_Day_4[[#This Row],[Activity]]),"",IF(_xlfn.XLOOKUP(Term2_Day_4[[#This Row],[Activity]],Types_of_Activity[Type of Activity],Types_of_Activity[Classification])=2,Term2_Day_4[[#This Row],[Elapsed]],0))</f>
        <v/>
      </c>
      <c r="AD19" s="135"/>
      <c r="AE19" s="135"/>
      <c r="AF19" s="102"/>
      <c r="AG19" s="105" t="str">
        <f>IF(OR(ISBLANK(Term2_Day_5[[#This Row],[Start]]),ISBLANK(Term2_Day_5[[#This Row],[End]])),"",(Term2_Day_5[[#This Row],[End]]-Term2_Day_5[[#This Row],[Start]])*1440)</f>
        <v/>
      </c>
      <c r="AH19" s="105" t="str">
        <f>IF(ISBLANK(Term2_Day_5[[#This Row],[Activity]]),"",IF(_xlfn.XLOOKUP(Term2_Day_5[[#This Row],[Activity]],Types_of_Activity[Type of Activity],Types_of_Activity[Classification])=1,Term2_Day_5[[#This Row],[Elapsed]],0))</f>
        <v/>
      </c>
      <c r="AI19" s="105" t="str">
        <f>IF(ISBLANK(Term2_Day_5[[#This Row],[Activity]]),"",IF(_xlfn.XLOOKUP(Term2_Day_5[[#This Row],[Activity]],Types_of_Activity[Type of Activity],Types_of_Activity[Classification])=2,Term2_Day_5[[#This Row],[Elapsed]],0))</f>
        <v/>
      </c>
      <c r="AK19" s="135"/>
      <c r="AL19" s="135"/>
      <c r="AM19" s="102"/>
      <c r="AN19" s="105" t="str">
        <f>IF(OR(ISBLANK(Term2_Day_6[[#This Row],[Start]]),ISBLANK(Term2_Day_6[[#This Row],[End]])),"",(Term2_Day_6[[#This Row],[End]]-Term2_Day_6[[#This Row],[Start]])*1440)</f>
        <v/>
      </c>
      <c r="AO19" s="105" t="str">
        <f>IF(ISBLANK(Term2_Day_6[[#This Row],[Activity]]),"",IF(_xlfn.XLOOKUP(Term2_Day_6[[#This Row],[Activity]],Types_of_Activity[Type of Activity],Types_of_Activity[Classification])=1,Term2_Day_6[[#This Row],[Elapsed]],0))</f>
        <v/>
      </c>
      <c r="AP19" s="105" t="str">
        <f>IF(ISBLANK(Term2_Day_6[[#This Row],[Activity]]),"",IF(_xlfn.XLOOKUP(Term2_Day_6[[#This Row],[Activity]],Types_of_Activity[Type of Activity],Types_of_Activity[Classification])=2,Term2_Day_6[[#This Row],[Elapsed]],0))</f>
        <v/>
      </c>
      <c r="AR19" s="135"/>
      <c r="AS19" s="135"/>
      <c r="AT19" s="102"/>
      <c r="AU19" s="105" t="str">
        <f>IF(OR(ISBLANK(Term2_Day_7[[#This Row],[Start]]),ISBLANK(Term2_Day_7[[#This Row],[End]])),"",(Term2_Day_7[[#This Row],[End]]-Term2_Day_7[[#This Row],[Start]])*1440)</f>
        <v/>
      </c>
      <c r="AV19" s="105" t="str">
        <f>IF(ISBLANK(Term2_Day_7[[#This Row],[Activity]]),"",IF(_xlfn.XLOOKUP(Term2_Day_7[[#This Row],[Activity]],Types_of_Activity[Type of Activity],Types_of_Activity[Classification])=1,Term2_Day_7[[#This Row],[Elapsed]],0))</f>
        <v/>
      </c>
      <c r="AW19" s="105" t="str">
        <f>IF(ISBLANK(Term2_Day_7[[#This Row],[Activity]]),"",IF(_xlfn.XLOOKUP(Term2_Day_7[[#This Row],[Activity]],Types_of_Activity[Type of Activity],Types_of_Activity[Classification])=2,Term2_Day_7[[#This Row],[Elapsed]],0))</f>
        <v/>
      </c>
      <c r="AY19" s="135"/>
      <c r="AZ19" s="135"/>
      <c r="BA19" s="102"/>
      <c r="BB19" s="105" t="str">
        <f>IF(OR(ISBLANK(Term2_Day_8[[#This Row],[Start]]),ISBLANK(Term2_Day_8[[#This Row],[End]])),"",(Term2_Day_8[[#This Row],[End]]-Term2_Day_8[[#This Row],[Start]])*1440)</f>
        <v/>
      </c>
      <c r="BC19" s="105" t="str">
        <f>IF(ISBLANK(Term2_Day_8[[#This Row],[Activity]]),"",IF(_xlfn.XLOOKUP(Term2_Day_8[[#This Row],[Activity]],Types_of_Activity[Type of Activity],Types_of_Activity[Classification])=1,Term2_Day_8[[#This Row],[Elapsed]],0))</f>
        <v/>
      </c>
      <c r="BD19" s="105" t="str">
        <f>IF(ISBLANK(Term2_Day_8[[#This Row],[Activity]]),"",IF(_xlfn.XLOOKUP(Term2_Day_8[[#This Row],[Activity]],Types_of_Activity[Type of Activity],Types_of_Activity[Classification])=2,Term2_Day_8[[#This Row],[Elapsed]],0))</f>
        <v/>
      </c>
      <c r="BF19" s="135"/>
      <c r="BG19" s="135"/>
      <c r="BH19" s="102"/>
      <c r="BI19" s="105" t="str">
        <f>IF(OR(ISBLANK(Term2_Day_9[[#This Row],[Start]]),ISBLANK(Term2_Day_9[[#This Row],[End]])),"",(Term2_Day_9[[#This Row],[End]]-Term2_Day_9[[#This Row],[Start]])*1440)</f>
        <v/>
      </c>
      <c r="BJ19" s="105" t="str">
        <f>IF(ISBLANK(Term2_Day_9[[#This Row],[Activity]]),"",IF(_xlfn.XLOOKUP(Term2_Day_9[[#This Row],[Activity]],Types_of_Activity[Type of Activity],Types_of_Activity[Classification])=1,Term2_Day_9[[#This Row],[Elapsed]],0))</f>
        <v/>
      </c>
      <c r="BK19" s="105" t="str">
        <f>IF(ISBLANK(Term2_Day_9[[#This Row],[Activity]]),"",IF(_xlfn.XLOOKUP(Term2_Day_9[[#This Row],[Activity]],Types_of_Activity[Type of Activity],Types_of_Activity[Classification])=2,Term2_Day_9[[#This Row],[Elapsed]],0))</f>
        <v/>
      </c>
      <c r="BM19" s="135"/>
      <c r="BN19" s="135"/>
      <c r="BO19" s="102"/>
      <c r="BP19" s="105" t="str">
        <f>IF(OR(ISBLANK(Term2_Day_10[[#This Row],[Start]]),ISBLANK(Term2_Day_10[[#This Row],[End]])),"",(Term2_Day_10[[#This Row],[End]]-Term2_Day_10[[#This Row],[Start]])*1440)</f>
        <v/>
      </c>
      <c r="BQ19" s="105" t="str">
        <f>IF(ISBLANK(Term2_Day_10[[#This Row],[Activity]]),"",IF(_xlfn.XLOOKUP(Term2_Day_10[[#This Row],[Activity]],Types_of_Activity[Type of Activity],Types_of_Activity[Classification])=1,Term2_Day_10[[#This Row],[Elapsed]],0))</f>
        <v/>
      </c>
      <c r="BR19" s="105" t="str">
        <f>IF(ISBLANK(Term2_Day_10[[#This Row],[Activity]]),"",IF(_xlfn.XLOOKUP(Term2_Day_10[[#This Row],[Activity]],Types_of_Activity[Type of Activity],Types_of_Activity[Classification])=2,Term2_Day_10[[#This Row],[Elapsed]],0))</f>
        <v/>
      </c>
    </row>
    <row r="20" spans="2:71" x14ac:dyDescent="0.3">
      <c r="B20" s="135"/>
      <c r="C20" s="135"/>
      <c r="D20" s="102"/>
      <c r="E20" s="105" t="str">
        <f>IF(OR(ISBLANK(Term2_Day_1[[#This Row],[Start]]),ISBLANK(Term2_Day_1[[#This Row],[End]])),"",(Term2_Day_1[[#This Row],[End]]-Term2_Day_1[[#This Row],[Start]])*1440)</f>
        <v/>
      </c>
      <c r="F20" s="105" t="str">
        <f>IF(ISBLANK(Term2_Day_1[[#This Row],[Activity]]),"",IF(_xlfn.XLOOKUP(Term2_Day_1[[#This Row],[Activity]],Types_of_Activity[Type of Activity],Types_of_Activity[Classification])=1,Term2_Day_1[[#This Row],[Elapsed]],0))</f>
        <v/>
      </c>
      <c r="G20" s="105" t="str">
        <f>IF(ISBLANK(Term2_Day_1[[#This Row],[Activity]]),"",IF(_xlfn.XLOOKUP(Term2_Day_1[[#This Row],[Activity]],Types_of_Activity[Type of Activity],Types_of_Activity[Classification])=2,Term2_Day_1[[#This Row],[Elapsed]],0))</f>
        <v/>
      </c>
      <c r="I20" s="135"/>
      <c r="J20" s="135"/>
      <c r="K20" s="102"/>
      <c r="L20" s="105" t="str">
        <f>IF(OR(ISBLANK(Term2_Day_2[[#This Row],[Start]]),ISBLANK(Term2_Day_2[[#This Row],[End]])),"",(Term2_Day_2[[#This Row],[End]]-Term2_Day_2[[#This Row],[Start]])*1440)</f>
        <v/>
      </c>
      <c r="M20" s="105" t="str">
        <f>IF(ISBLANK(Term2_Day_2[[#This Row],[Activity]]),"",IF(_xlfn.XLOOKUP(Term2_Day_2[[#This Row],[Activity]],Types_of_Activity[Type of Activity],Types_of_Activity[Classification])=1,Term2_Day_2[[#This Row],[Elapsed]],0))</f>
        <v/>
      </c>
      <c r="N20" s="105" t="str">
        <f>IF(ISBLANK(Term2_Day_2[[#This Row],[Activity]]),"",IF(_xlfn.XLOOKUP(Term2_Day_2[[#This Row],[Activity]],Types_of_Activity[Type of Activity],Types_of_Activity[Classification])=2,Term2_Day_2[[#This Row],[Elapsed]],0))</f>
        <v/>
      </c>
      <c r="P20" s="135"/>
      <c r="Q20" s="135"/>
      <c r="R20" s="102"/>
      <c r="S20" s="105" t="str">
        <f>IF(OR(ISBLANK(Term2_Day_3[[#This Row],[Start]]),ISBLANK(Term2_Day_3[[#This Row],[End]])),"",(Term2_Day_3[[#This Row],[End]]-Term2_Day_3[[#This Row],[Start]])*1440)</f>
        <v/>
      </c>
      <c r="T20" s="105" t="str">
        <f>IF(ISBLANK(Term2_Day_3[[#This Row],[Activity]]),"",IF(_xlfn.XLOOKUP(Term2_Day_3[[#This Row],[Activity]],Types_of_Activity[Type of Activity],Types_of_Activity[Classification])=1,Term2_Day_3[[#This Row],[Elapsed]],0))</f>
        <v/>
      </c>
      <c r="U20" s="105" t="str">
        <f>IF(ISBLANK(Term2_Day_3[[#This Row],[Activity]]),"",IF(_xlfn.XLOOKUP(Term2_Day_3[[#This Row],[Activity]],Types_of_Activity[Type of Activity],Types_of_Activity[Classification])=2,Term2_Day_3[[#This Row],[Elapsed]],0))</f>
        <v/>
      </c>
      <c r="W20" s="135"/>
      <c r="X20" s="135"/>
      <c r="Y20" s="102"/>
      <c r="Z20" s="105" t="str">
        <f>IF(OR(ISBLANK(Term2_Day_4[[#This Row],[Start]]),ISBLANK(Term2_Day_4[[#This Row],[End]])),"",(Term2_Day_4[[#This Row],[End]]-Term2_Day_4[[#This Row],[Start]])*1440)</f>
        <v/>
      </c>
      <c r="AA20" s="105" t="str">
        <f>IF(ISBLANK(Term2_Day_4[[#This Row],[Activity]]),"",IF(_xlfn.XLOOKUP(Term2_Day_4[[#This Row],[Activity]],Types_of_Activity[Type of Activity],Types_of_Activity[Classification])=1,Term2_Day_4[[#This Row],[Elapsed]],0))</f>
        <v/>
      </c>
      <c r="AB20" s="105" t="str">
        <f>IF(ISBLANK(Term2_Day_4[[#This Row],[Activity]]),"",IF(_xlfn.XLOOKUP(Term2_Day_4[[#This Row],[Activity]],Types_of_Activity[Type of Activity],Types_of_Activity[Classification])=2,Term2_Day_4[[#This Row],[Elapsed]],0))</f>
        <v/>
      </c>
      <c r="AD20" s="135"/>
      <c r="AE20" s="135"/>
      <c r="AF20" s="102"/>
      <c r="AG20" s="105" t="str">
        <f>IF(OR(ISBLANK(Term2_Day_5[[#This Row],[Start]]),ISBLANK(Term2_Day_5[[#This Row],[End]])),"",(Term2_Day_5[[#This Row],[End]]-Term2_Day_5[[#This Row],[Start]])*1440)</f>
        <v/>
      </c>
      <c r="AH20" s="105" t="str">
        <f>IF(ISBLANK(Term2_Day_5[[#This Row],[Activity]]),"",IF(_xlfn.XLOOKUP(Term2_Day_5[[#This Row],[Activity]],Types_of_Activity[Type of Activity],Types_of_Activity[Classification])=1,Term2_Day_5[[#This Row],[Elapsed]],0))</f>
        <v/>
      </c>
      <c r="AI20" s="105" t="str">
        <f>IF(ISBLANK(Term2_Day_5[[#This Row],[Activity]]),"",IF(_xlfn.XLOOKUP(Term2_Day_5[[#This Row],[Activity]],Types_of_Activity[Type of Activity],Types_of_Activity[Classification])=2,Term2_Day_5[[#This Row],[Elapsed]],0))</f>
        <v/>
      </c>
      <c r="AJ20" s="106"/>
      <c r="AK20" s="135"/>
      <c r="AL20" s="135"/>
      <c r="AM20" s="102"/>
      <c r="AN20" s="105" t="str">
        <f>IF(OR(ISBLANK(Term2_Day_6[[#This Row],[Start]]),ISBLANK(Term2_Day_6[[#This Row],[End]])),"",(Term2_Day_6[[#This Row],[End]]-Term2_Day_6[[#This Row],[Start]])*1440)</f>
        <v/>
      </c>
      <c r="AO20" s="105" t="str">
        <f>IF(ISBLANK(Term2_Day_6[[#This Row],[Activity]]),"",IF(_xlfn.XLOOKUP(Term2_Day_6[[#This Row],[Activity]],Types_of_Activity[Type of Activity],Types_of_Activity[Classification])=1,Term2_Day_6[[#This Row],[Elapsed]],0))</f>
        <v/>
      </c>
      <c r="AP20" s="105" t="str">
        <f>IF(ISBLANK(Term2_Day_6[[#This Row],[Activity]]),"",IF(_xlfn.XLOOKUP(Term2_Day_6[[#This Row],[Activity]],Types_of_Activity[Type of Activity],Types_of_Activity[Classification])=2,Term2_Day_6[[#This Row],[Elapsed]],0))</f>
        <v/>
      </c>
      <c r="AQ20" s="106"/>
      <c r="AR20" s="135"/>
      <c r="AS20" s="135"/>
      <c r="AT20" s="102"/>
      <c r="AU20" s="105" t="str">
        <f>IF(OR(ISBLANK(Term2_Day_7[[#This Row],[Start]]),ISBLANK(Term2_Day_7[[#This Row],[End]])),"",(Term2_Day_7[[#This Row],[End]]-Term2_Day_7[[#This Row],[Start]])*1440)</f>
        <v/>
      </c>
      <c r="AV20" s="105" t="str">
        <f>IF(ISBLANK(Term2_Day_7[[#This Row],[Activity]]),"",IF(_xlfn.XLOOKUP(Term2_Day_7[[#This Row],[Activity]],Types_of_Activity[Type of Activity],Types_of_Activity[Classification])=1,Term2_Day_7[[#This Row],[Elapsed]],0))</f>
        <v/>
      </c>
      <c r="AW20" s="105" t="str">
        <f>IF(ISBLANK(Term2_Day_7[[#This Row],[Activity]]),"",IF(_xlfn.XLOOKUP(Term2_Day_7[[#This Row],[Activity]],Types_of_Activity[Type of Activity],Types_of_Activity[Classification])=2,Term2_Day_7[[#This Row],[Elapsed]],0))</f>
        <v/>
      </c>
      <c r="AX20" s="106"/>
      <c r="AY20" s="135"/>
      <c r="AZ20" s="135"/>
      <c r="BA20" s="102"/>
      <c r="BB20" s="105" t="str">
        <f>IF(OR(ISBLANK(Term2_Day_8[[#This Row],[Start]]),ISBLANK(Term2_Day_8[[#This Row],[End]])),"",(Term2_Day_8[[#This Row],[End]]-Term2_Day_8[[#This Row],[Start]])*1440)</f>
        <v/>
      </c>
      <c r="BC20" s="105" t="str">
        <f>IF(ISBLANK(Term2_Day_8[[#This Row],[Activity]]),"",IF(_xlfn.XLOOKUP(Term2_Day_8[[#This Row],[Activity]],Types_of_Activity[Type of Activity],Types_of_Activity[Classification])=1,Term2_Day_8[[#This Row],[Elapsed]],0))</f>
        <v/>
      </c>
      <c r="BD20" s="105" t="str">
        <f>IF(ISBLANK(Term2_Day_8[[#This Row],[Activity]]),"",IF(_xlfn.XLOOKUP(Term2_Day_8[[#This Row],[Activity]],Types_of_Activity[Type of Activity],Types_of_Activity[Classification])=2,Term2_Day_8[[#This Row],[Elapsed]],0))</f>
        <v/>
      </c>
      <c r="BE20" s="106"/>
      <c r="BF20" s="135"/>
      <c r="BG20" s="135"/>
      <c r="BH20" s="102"/>
      <c r="BI20" s="105" t="str">
        <f>IF(OR(ISBLANK(Term2_Day_9[[#This Row],[Start]]),ISBLANK(Term2_Day_9[[#This Row],[End]])),"",(Term2_Day_9[[#This Row],[End]]-Term2_Day_9[[#This Row],[Start]])*1440)</f>
        <v/>
      </c>
      <c r="BJ20" s="105" t="str">
        <f>IF(ISBLANK(Term2_Day_9[[#This Row],[Activity]]),"",IF(_xlfn.XLOOKUP(Term2_Day_9[[#This Row],[Activity]],Types_of_Activity[Type of Activity],Types_of_Activity[Classification])=1,Term2_Day_9[[#This Row],[Elapsed]],0))</f>
        <v/>
      </c>
      <c r="BK20" s="105" t="str">
        <f>IF(ISBLANK(Term2_Day_9[[#This Row],[Activity]]),"",IF(_xlfn.XLOOKUP(Term2_Day_9[[#This Row],[Activity]],Types_of_Activity[Type of Activity],Types_of_Activity[Classification])=2,Term2_Day_9[[#This Row],[Elapsed]],0))</f>
        <v/>
      </c>
      <c r="BL20" s="106"/>
      <c r="BM20" s="135"/>
      <c r="BN20" s="135"/>
      <c r="BO20" s="102"/>
      <c r="BP20" s="105" t="str">
        <f>IF(OR(ISBLANK(Term2_Day_10[[#This Row],[Start]]),ISBLANK(Term2_Day_10[[#This Row],[End]])),"",(Term2_Day_10[[#This Row],[End]]-Term2_Day_10[[#This Row],[Start]])*1440)</f>
        <v/>
      </c>
      <c r="BQ20" s="105" t="str">
        <f>IF(ISBLANK(Term2_Day_10[[#This Row],[Activity]]),"",IF(_xlfn.XLOOKUP(Term2_Day_10[[#This Row],[Activity]],Types_of_Activity[Type of Activity],Types_of_Activity[Classification])=1,Term2_Day_10[[#This Row],[Elapsed]],0))</f>
        <v/>
      </c>
      <c r="BR20" s="105" t="str">
        <f>IF(ISBLANK(Term2_Day_10[[#This Row],[Activity]]),"",IF(_xlfn.XLOOKUP(Term2_Day_10[[#This Row],[Activity]],Types_of_Activity[Type of Activity],Types_of_Activity[Classification])=2,Term2_Day_10[[#This Row],[Elapsed]],0))</f>
        <v/>
      </c>
      <c r="BS20" s="106"/>
    </row>
    <row r="21" spans="2:71" x14ac:dyDescent="0.3">
      <c r="B21" s="135"/>
      <c r="C21" s="135"/>
      <c r="D21" s="102"/>
      <c r="E21" s="105" t="str">
        <f>IF(OR(ISBLANK(Term2_Day_1[[#This Row],[Start]]),ISBLANK(Term2_Day_1[[#This Row],[End]])),"",(Term2_Day_1[[#This Row],[End]]-Term2_Day_1[[#This Row],[Start]])*1440)</f>
        <v/>
      </c>
      <c r="F21" s="105" t="str">
        <f>IF(ISBLANK(Term2_Day_1[[#This Row],[Activity]]),"",IF(_xlfn.XLOOKUP(Term2_Day_1[[#This Row],[Activity]],Types_of_Activity[Type of Activity],Types_of_Activity[Classification])=1,Term2_Day_1[[#This Row],[Elapsed]],0))</f>
        <v/>
      </c>
      <c r="G21" s="105" t="str">
        <f>IF(ISBLANK(Term2_Day_1[[#This Row],[Activity]]),"",IF(_xlfn.XLOOKUP(Term2_Day_1[[#This Row],[Activity]],Types_of_Activity[Type of Activity],Types_of_Activity[Classification])=2,Term2_Day_1[[#This Row],[Elapsed]],0))</f>
        <v/>
      </c>
      <c r="I21" s="135"/>
      <c r="J21" s="135"/>
      <c r="K21" s="102"/>
      <c r="L21" s="105" t="str">
        <f>IF(OR(ISBLANK(Term2_Day_2[[#This Row],[Start]]),ISBLANK(Term2_Day_2[[#This Row],[End]])),"",(Term2_Day_2[[#This Row],[End]]-Term2_Day_2[[#This Row],[Start]])*1440)</f>
        <v/>
      </c>
      <c r="M21" s="105" t="str">
        <f>IF(ISBLANK(Term2_Day_2[[#This Row],[Activity]]),"",IF(_xlfn.XLOOKUP(Term2_Day_2[[#This Row],[Activity]],Types_of_Activity[Type of Activity],Types_of_Activity[Classification])=1,Term2_Day_2[[#This Row],[Elapsed]],0))</f>
        <v/>
      </c>
      <c r="N21" s="105" t="str">
        <f>IF(ISBLANK(Term2_Day_2[[#This Row],[Activity]]),"",IF(_xlfn.XLOOKUP(Term2_Day_2[[#This Row],[Activity]],Types_of_Activity[Type of Activity],Types_of_Activity[Classification])=2,Term2_Day_2[[#This Row],[Elapsed]],0))</f>
        <v/>
      </c>
      <c r="P21" s="135"/>
      <c r="Q21" s="135"/>
      <c r="R21" s="102"/>
      <c r="S21" s="105" t="str">
        <f>IF(OR(ISBLANK(Term2_Day_3[[#This Row],[Start]]),ISBLANK(Term2_Day_3[[#This Row],[End]])),"",(Term2_Day_3[[#This Row],[End]]-Term2_Day_3[[#This Row],[Start]])*1440)</f>
        <v/>
      </c>
      <c r="T21" s="105" t="str">
        <f>IF(ISBLANK(Term2_Day_3[[#This Row],[Activity]]),"",IF(_xlfn.XLOOKUP(Term2_Day_3[[#This Row],[Activity]],Types_of_Activity[Type of Activity],Types_of_Activity[Classification])=1,Term2_Day_3[[#This Row],[Elapsed]],0))</f>
        <v/>
      </c>
      <c r="U21" s="105" t="str">
        <f>IF(ISBLANK(Term2_Day_3[[#This Row],[Activity]]),"",IF(_xlfn.XLOOKUP(Term2_Day_3[[#This Row],[Activity]],Types_of_Activity[Type of Activity],Types_of_Activity[Classification])=2,Term2_Day_3[[#This Row],[Elapsed]],0))</f>
        <v/>
      </c>
      <c r="W21" s="135"/>
      <c r="X21" s="135"/>
      <c r="Y21" s="102"/>
      <c r="Z21" s="105" t="str">
        <f>IF(OR(ISBLANK(Term2_Day_4[[#This Row],[Start]]),ISBLANK(Term2_Day_4[[#This Row],[End]])),"",(Term2_Day_4[[#This Row],[End]]-Term2_Day_4[[#This Row],[Start]])*1440)</f>
        <v/>
      </c>
      <c r="AA21" s="105" t="str">
        <f>IF(ISBLANK(Term2_Day_4[[#This Row],[Activity]]),"",IF(_xlfn.XLOOKUP(Term2_Day_4[[#This Row],[Activity]],Types_of_Activity[Type of Activity],Types_of_Activity[Classification])=1,Term2_Day_4[[#This Row],[Elapsed]],0))</f>
        <v/>
      </c>
      <c r="AB21" s="105" t="str">
        <f>IF(ISBLANK(Term2_Day_4[[#This Row],[Activity]]),"",IF(_xlfn.XLOOKUP(Term2_Day_4[[#This Row],[Activity]],Types_of_Activity[Type of Activity],Types_of_Activity[Classification])=2,Term2_Day_4[[#This Row],[Elapsed]],0))</f>
        <v/>
      </c>
      <c r="AD21" s="135"/>
      <c r="AE21" s="135"/>
      <c r="AF21" s="102"/>
      <c r="AG21" s="105" t="str">
        <f>IF(OR(ISBLANK(Term2_Day_5[[#This Row],[Start]]),ISBLANK(Term2_Day_5[[#This Row],[End]])),"",(Term2_Day_5[[#This Row],[End]]-Term2_Day_5[[#This Row],[Start]])*1440)</f>
        <v/>
      </c>
      <c r="AH21" s="105" t="str">
        <f>IF(ISBLANK(Term2_Day_5[[#This Row],[Activity]]),"",IF(_xlfn.XLOOKUP(Term2_Day_5[[#This Row],[Activity]],Types_of_Activity[Type of Activity],Types_of_Activity[Classification])=1,Term2_Day_5[[#This Row],[Elapsed]],0))</f>
        <v/>
      </c>
      <c r="AI21" s="105" t="str">
        <f>IF(ISBLANK(Term2_Day_5[[#This Row],[Activity]]),"",IF(_xlfn.XLOOKUP(Term2_Day_5[[#This Row],[Activity]],Types_of_Activity[Type of Activity],Types_of_Activity[Classification])=2,Term2_Day_5[[#This Row],[Elapsed]],0))</f>
        <v/>
      </c>
      <c r="AJ21" s="106"/>
      <c r="AK21" s="135"/>
      <c r="AL21" s="135"/>
      <c r="AM21" s="102"/>
      <c r="AN21" s="105" t="str">
        <f>IF(OR(ISBLANK(Term2_Day_6[[#This Row],[Start]]),ISBLANK(Term2_Day_6[[#This Row],[End]])),"",(Term2_Day_6[[#This Row],[End]]-Term2_Day_6[[#This Row],[Start]])*1440)</f>
        <v/>
      </c>
      <c r="AO21" s="105" t="str">
        <f>IF(ISBLANK(Term2_Day_6[[#This Row],[Activity]]),"",IF(_xlfn.XLOOKUP(Term2_Day_6[[#This Row],[Activity]],Types_of_Activity[Type of Activity],Types_of_Activity[Classification])=1,Term2_Day_6[[#This Row],[Elapsed]],0))</f>
        <v/>
      </c>
      <c r="AP21" s="105" t="str">
        <f>IF(ISBLANK(Term2_Day_6[[#This Row],[Activity]]),"",IF(_xlfn.XLOOKUP(Term2_Day_6[[#This Row],[Activity]],Types_of_Activity[Type of Activity],Types_of_Activity[Classification])=2,Term2_Day_6[[#This Row],[Elapsed]],0))</f>
        <v/>
      </c>
      <c r="AQ21" s="106"/>
      <c r="AR21" s="135"/>
      <c r="AS21" s="135"/>
      <c r="AT21" s="102"/>
      <c r="AU21" s="105" t="str">
        <f>IF(OR(ISBLANK(Term2_Day_7[[#This Row],[Start]]),ISBLANK(Term2_Day_7[[#This Row],[End]])),"",(Term2_Day_7[[#This Row],[End]]-Term2_Day_7[[#This Row],[Start]])*1440)</f>
        <v/>
      </c>
      <c r="AV21" s="105" t="str">
        <f>IF(ISBLANK(Term2_Day_7[[#This Row],[Activity]]),"",IF(_xlfn.XLOOKUP(Term2_Day_7[[#This Row],[Activity]],Types_of_Activity[Type of Activity],Types_of_Activity[Classification])=1,Term2_Day_7[[#This Row],[Elapsed]],0))</f>
        <v/>
      </c>
      <c r="AW21" s="105" t="str">
        <f>IF(ISBLANK(Term2_Day_7[[#This Row],[Activity]]),"",IF(_xlfn.XLOOKUP(Term2_Day_7[[#This Row],[Activity]],Types_of_Activity[Type of Activity],Types_of_Activity[Classification])=2,Term2_Day_7[[#This Row],[Elapsed]],0))</f>
        <v/>
      </c>
      <c r="AX21" s="106"/>
      <c r="AY21" s="135"/>
      <c r="AZ21" s="135"/>
      <c r="BA21" s="102"/>
      <c r="BB21" s="105" t="str">
        <f>IF(OR(ISBLANK(Term2_Day_8[[#This Row],[Start]]),ISBLANK(Term2_Day_8[[#This Row],[End]])),"",(Term2_Day_8[[#This Row],[End]]-Term2_Day_8[[#This Row],[Start]])*1440)</f>
        <v/>
      </c>
      <c r="BC21" s="105" t="str">
        <f>IF(ISBLANK(Term2_Day_8[[#This Row],[Activity]]),"",IF(_xlfn.XLOOKUP(Term2_Day_8[[#This Row],[Activity]],Types_of_Activity[Type of Activity],Types_of_Activity[Classification])=1,Term2_Day_8[[#This Row],[Elapsed]],0))</f>
        <v/>
      </c>
      <c r="BD21" s="105" t="str">
        <f>IF(ISBLANK(Term2_Day_8[[#This Row],[Activity]]),"",IF(_xlfn.XLOOKUP(Term2_Day_8[[#This Row],[Activity]],Types_of_Activity[Type of Activity],Types_of_Activity[Classification])=2,Term2_Day_8[[#This Row],[Elapsed]],0))</f>
        <v/>
      </c>
      <c r="BE21" s="106"/>
      <c r="BF21" s="135"/>
      <c r="BG21" s="135"/>
      <c r="BH21" s="102"/>
      <c r="BI21" s="105" t="str">
        <f>IF(OR(ISBLANK(Term2_Day_9[[#This Row],[Start]]),ISBLANK(Term2_Day_9[[#This Row],[End]])),"",(Term2_Day_9[[#This Row],[End]]-Term2_Day_9[[#This Row],[Start]])*1440)</f>
        <v/>
      </c>
      <c r="BJ21" s="105" t="str">
        <f>IF(ISBLANK(Term2_Day_9[[#This Row],[Activity]]),"",IF(_xlfn.XLOOKUP(Term2_Day_9[[#This Row],[Activity]],Types_of_Activity[Type of Activity],Types_of_Activity[Classification])=1,Term2_Day_9[[#This Row],[Elapsed]],0))</f>
        <v/>
      </c>
      <c r="BK21" s="105" t="str">
        <f>IF(ISBLANK(Term2_Day_9[[#This Row],[Activity]]),"",IF(_xlfn.XLOOKUP(Term2_Day_9[[#This Row],[Activity]],Types_of_Activity[Type of Activity],Types_of_Activity[Classification])=2,Term2_Day_9[[#This Row],[Elapsed]],0))</f>
        <v/>
      </c>
      <c r="BL21" s="106"/>
      <c r="BM21" s="135"/>
      <c r="BN21" s="135"/>
      <c r="BO21" s="102"/>
      <c r="BP21" s="105" t="str">
        <f>IF(OR(ISBLANK(Term2_Day_10[[#This Row],[Start]]),ISBLANK(Term2_Day_10[[#This Row],[End]])),"",(Term2_Day_10[[#This Row],[End]]-Term2_Day_10[[#This Row],[Start]])*1440)</f>
        <v/>
      </c>
      <c r="BQ21" s="105" t="str">
        <f>IF(ISBLANK(Term2_Day_10[[#This Row],[Activity]]),"",IF(_xlfn.XLOOKUP(Term2_Day_10[[#This Row],[Activity]],Types_of_Activity[Type of Activity],Types_of_Activity[Classification])=1,Term2_Day_10[[#This Row],[Elapsed]],0))</f>
        <v/>
      </c>
      <c r="BR21" s="105" t="str">
        <f>IF(ISBLANK(Term2_Day_10[[#This Row],[Activity]]),"",IF(_xlfn.XLOOKUP(Term2_Day_10[[#This Row],[Activity]],Types_of_Activity[Type of Activity],Types_of_Activity[Classification])=2,Term2_Day_10[[#This Row],[Elapsed]],0))</f>
        <v/>
      </c>
      <c r="BS21" s="106"/>
    </row>
    <row r="22" spans="2:71" x14ac:dyDescent="0.3">
      <c r="B22" s="135"/>
      <c r="C22" s="135"/>
      <c r="D22" s="102"/>
      <c r="E22" s="105" t="str">
        <f>IF(OR(ISBLANK(Term2_Day_1[[#This Row],[Start]]),ISBLANK(Term2_Day_1[[#This Row],[End]])),"",(Term2_Day_1[[#This Row],[End]]-Term2_Day_1[[#This Row],[Start]])*1440)</f>
        <v/>
      </c>
      <c r="F22" s="105" t="str">
        <f>IF(ISBLANK(Term2_Day_1[[#This Row],[Activity]]),"",IF(_xlfn.XLOOKUP(Term2_Day_1[[#This Row],[Activity]],Types_of_Activity[Type of Activity],Types_of_Activity[Classification])=1,Term2_Day_1[[#This Row],[Elapsed]],0))</f>
        <v/>
      </c>
      <c r="G22" s="105" t="str">
        <f>IF(ISBLANK(Term2_Day_1[[#This Row],[Activity]]),"",IF(_xlfn.XLOOKUP(Term2_Day_1[[#This Row],[Activity]],Types_of_Activity[Type of Activity],Types_of_Activity[Classification])=2,Term2_Day_1[[#This Row],[Elapsed]],0))</f>
        <v/>
      </c>
      <c r="I22" s="135"/>
      <c r="J22" s="135"/>
      <c r="K22" s="102"/>
      <c r="L22" s="105" t="str">
        <f>IF(OR(ISBLANK(Term2_Day_2[[#This Row],[Start]]),ISBLANK(Term2_Day_2[[#This Row],[End]])),"",(Term2_Day_2[[#This Row],[End]]-Term2_Day_2[[#This Row],[Start]])*1440)</f>
        <v/>
      </c>
      <c r="M22" s="105" t="str">
        <f>IF(ISBLANK(Term2_Day_2[[#This Row],[Activity]]),"",IF(_xlfn.XLOOKUP(Term2_Day_2[[#This Row],[Activity]],Types_of_Activity[Type of Activity],Types_of_Activity[Classification])=1,Term2_Day_2[[#This Row],[Elapsed]],0))</f>
        <v/>
      </c>
      <c r="N22" s="105" t="str">
        <f>IF(ISBLANK(Term2_Day_2[[#This Row],[Activity]]),"",IF(_xlfn.XLOOKUP(Term2_Day_2[[#This Row],[Activity]],Types_of_Activity[Type of Activity],Types_of_Activity[Classification])=2,Term2_Day_2[[#This Row],[Elapsed]],0))</f>
        <v/>
      </c>
      <c r="P22" s="135"/>
      <c r="Q22" s="135"/>
      <c r="R22" s="102"/>
      <c r="S22" s="105" t="str">
        <f>IF(OR(ISBLANK(Term2_Day_3[[#This Row],[Start]]),ISBLANK(Term2_Day_3[[#This Row],[End]])),"",(Term2_Day_3[[#This Row],[End]]-Term2_Day_3[[#This Row],[Start]])*1440)</f>
        <v/>
      </c>
      <c r="T22" s="105" t="str">
        <f>IF(ISBLANK(Term2_Day_3[[#This Row],[Activity]]),"",IF(_xlfn.XLOOKUP(Term2_Day_3[[#This Row],[Activity]],Types_of_Activity[Type of Activity],Types_of_Activity[Classification])=1,Term2_Day_3[[#This Row],[Elapsed]],0))</f>
        <v/>
      </c>
      <c r="U22" s="105" t="str">
        <f>IF(ISBLANK(Term2_Day_3[[#This Row],[Activity]]),"",IF(_xlfn.XLOOKUP(Term2_Day_3[[#This Row],[Activity]],Types_of_Activity[Type of Activity],Types_of_Activity[Classification])=2,Term2_Day_3[[#This Row],[Elapsed]],0))</f>
        <v/>
      </c>
      <c r="W22" s="135"/>
      <c r="X22" s="135"/>
      <c r="Y22" s="102"/>
      <c r="Z22" s="105" t="str">
        <f>IF(OR(ISBLANK(Term2_Day_4[[#This Row],[Start]]),ISBLANK(Term2_Day_4[[#This Row],[End]])),"",(Term2_Day_4[[#This Row],[End]]-Term2_Day_4[[#This Row],[Start]])*1440)</f>
        <v/>
      </c>
      <c r="AA22" s="105" t="str">
        <f>IF(ISBLANK(Term2_Day_4[[#This Row],[Activity]]),"",IF(_xlfn.XLOOKUP(Term2_Day_4[[#This Row],[Activity]],Types_of_Activity[Type of Activity],Types_of_Activity[Classification])=1,Term2_Day_4[[#This Row],[Elapsed]],0))</f>
        <v/>
      </c>
      <c r="AB22" s="105" t="str">
        <f>IF(ISBLANK(Term2_Day_4[[#This Row],[Activity]]),"",IF(_xlfn.XLOOKUP(Term2_Day_4[[#This Row],[Activity]],Types_of_Activity[Type of Activity],Types_of_Activity[Classification])=2,Term2_Day_4[[#This Row],[Elapsed]],0))</f>
        <v/>
      </c>
      <c r="AD22" s="135"/>
      <c r="AE22" s="135"/>
      <c r="AF22" s="102"/>
      <c r="AG22" s="105" t="str">
        <f>IF(OR(ISBLANK(Term2_Day_5[[#This Row],[Start]]),ISBLANK(Term2_Day_5[[#This Row],[End]])),"",(Term2_Day_5[[#This Row],[End]]-Term2_Day_5[[#This Row],[Start]])*1440)</f>
        <v/>
      </c>
      <c r="AH22" s="105" t="str">
        <f>IF(ISBLANK(Term2_Day_5[[#This Row],[Activity]]),"",IF(_xlfn.XLOOKUP(Term2_Day_5[[#This Row],[Activity]],Types_of_Activity[Type of Activity],Types_of_Activity[Classification])=1,Term2_Day_5[[#This Row],[Elapsed]],0))</f>
        <v/>
      </c>
      <c r="AI22" s="105" t="str">
        <f>IF(ISBLANK(Term2_Day_5[[#This Row],[Activity]]),"",IF(_xlfn.XLOOKUP(Term2_Day_5[[#This Row],[Activity]],Types_of_Activity[Type of Activity],Types_of_Activity[Classification])=2,Term2_Day_5[[#This Row],[Elapsed]],0))</f>
        <v/>
      </c>
      <c r="AJ22" s="106"/>
      <c r="AK22" s="135"/>
      <c r="AL22" s="135"/>
      <c r="AM22" s="102"/>
      <c r="AN22" s="105" t="str">
        <f>IF(OR(ISBLANK(Term2_Day_6[[#This Row],[Start]]),ISBLANK(Term2_Day_6[[#This Row],[End]])),"",(Term2_Day_6[[#This Row],[End]]-Term2_Day_6[[#This Row],[Start]])*1440)</f>
        <v/>
      </c>
      <c r="AO22" s="105" t="str">
        <f>IF(ISBLANK(Term2_Day_6[[#This Row],[Activity]]),"",IF(_xlfn.XLOOKUP(Term2_Day_6[[#This Row],[Activity]],Types_of_Activity[Type of Activity],Types_of_Activity[Classification])=1,Term2_Day_6[[#This Row],[Elapsed]],0))</f>
        <v/>
      </c>
      <c r="AP22" s="105" t="str">
        <f>IF(ISBLANK(Term2_Day_6[[#This Row],[Activity]]),"",IF(_xlfn.XLOOKUP(Term2_Day_6[[#This Row],[Activity]],Types_of_Activity[Type of Activity],Types_of_Activity[Classification])=2,Term2_Day_6[[#This Row],[Elapsed]],0))</f>
        <v/>
      </c>
      <c r="AQ22" s="106"/>
      <c r="AR22" s="135"/>
      <c r="AS22" s="135"/>
      <c r="AT22" s="102"/>
      <c r="AU22" s="105" t="str">
        <f>IF(OR(ISBLANK(Term2_Day_7[[#This Row],[Start]]),ISBLANK(Term2_Day_7[[#This Row],[End]])),"",(Term2_Day_7[[#This Row],[End]]-Term2_Day_7[[#This Row],[Start]])*1440)</f>
        <v/>
      </c>
      <c r="AV22" s="105" t="str">
        <f>IF(ISBLANK(Term2_Day_7[[#This Row],[Activity]]),"",IF(_xlfn.XLOOKUP(Term2_Day_7[[#This Row],[Activity]],Types_of_Activity[Type of Activity],Types_of_Activity[Classification])=1,Term2_Day_7[[#This Row],[Elapsed]],0))</f>
        <v/>
      </c>
      <c r="AW22" s="105" t="str">
        <f>IF(ISBLANK(Term2_Day_7[[#This Row],[Activity]]),"",IF(_xlfn.XLOOKUP(Term2_Day_7[[#This Row],[Activity]],Types_of_Activity[Type of Activity],Types_of_Activity[Classification])=2,Term2_Day_7[[#This Row],[Elapsed]],0))</f>
        <v/>
      </c>
      <c r="AX22" s="106"/>
      <c r="AY22" s="135"/>
      <c r="AZ22" s="135"/>
      <c r="BA22" s="102"/>
      <c r="BB22" s="105" t="str">
        <f>IF(OR(ISBLANK(Term2_Day_8[[#This Row],[Start]]),ISBLANK(Term2_Day_8[[#This Row],[End]])),"",(Term2_Day_8[[#This Row],[End]]-Term2_Day_8[[#This Row],[Start]])*1440)</f>
        <v/>
      </c>
      <c r="BC22" s="105" t="str">
        <f>IF(ISBLANK(Term2_Day_8[[#This Row],[Activity]]),"",IF(_xlfn.XLOOKUP(Term2_Day_8[[#This Row],[Activity]],Types_of_Activity[Type of Activity],Types_of_Activity[Classification])=1,Term2_Day_8[[#This Row],[Elapsed]],0))</f>
        <v/>
      </c>
      <c r="BD22" s="105" t="str">
        <f>IF(ISBLANK(Term2_Day_8[[#This Row],[Activity]]),"",IF(_xlfn.XLOOKUP(Term2_Day_8[[#This Row],[Activity]],Types_of_Activity[Type of Activity],Types_of_Activity[Classification])=2,Term2_Day_8[[#This Row],[Elapsed]],0))</f>
        <v/>
      </c>
      <c r="BE22" s="106"/>
      <c r="BF22" s="135"/>
      <c r="BG22" s="135"/>
      <c r="BH22" s="102"/>
      <c r="BI22" s="105" t="str">
        <f>IF(OR(ISBLANK(Term2_Day_9[[#This Row],[Start]]),ISBLANK(Term2_Day_9[[#This Row],[End]])),"",(Term2_Day_9[[#This Row],[End]]-Term2_Day_9[[#This Row],[Start]])*1440)</f>
        <v/>
      </c>
      <c r="BJ22" s="105" t="str">
        <f>IF(ISBLANK(Term2_Day_9[[#This Row],[Activity]]),"",IF(_xlfn.XLOOKUP(Term2_Day_9[[#This Row],[Activity]],Types_of_Activity[Type of Activity],Types_of_Activity[Classification])=1,Term2_Day_9[[#This Row],[Elapsed]],0))</f>
        <v/>
      </c>
      <c r="BK22" s="105" t="str">
        <f>IF(ISBLANK(Term2_Day_9[[#This Row],[Activity]]),"",IF(_xlfn.XLOOKUP(Term2_Day_9[[#This Row],[Activity]],Types_of_Activity[Type of Activity],Types_of_Activity[Classification])=2,Term2_Day_9[[#This Row],[Elapsed]],0))</f>
        <v/>
      </c>
      <c r="BL22" s="106"/>
      <c r="BM22" s="135"/>
      <c r="BN22" s="135"/>
      <c r="BO22" s="102"/>
      <c r="BP22" s="105" t="str">
        <f>IF(OR(ISBLANK(Term2_Day_10[[#This Row],[Start]]),ISBLANK(Term2_Day_10[[#This Row],[End]])),"",(Term2_Day_10[[#This Row],[End]]-Term2_Day_10[[#This Row],[Start]])*1440)</f>
        <v/>
      </c>
      <c r="BQ22" s="105" t="str">
        <f>IF(ISBLANK(Term2_Day_10[[#This Row],[Activity]]),"",IF(_xlfn.XLOOKUP(Term2_Day_10[[#This Row],[Activity]],Types_of_Activity[Type of Activity],Types_of_Activity[Classification])=1,Term2_Day_10[[#This Row],[Elapsed]],0))</f>
        <v/>
      </c>
      <c r="BR22" s="105" t="str">
        <f>IF(ISBLANK(Term2_Day_10[[#This Row],[Activity]]),"",IF(_xlfn.XLOOKUP(Term2_Day_10[[#This Row],[Activity]],Types_of_Activity[Type of Activity],Types_of_Activity[Classification])=2,Term2_Day_10[[#This Row],[Elapsed]],0))</f>
        <v/>
      </c>
      <c r="BS22" s="106"/>
    </row>
    <row r="23" spans="2:71" x14ac:dyDescent="0.3">
      <c r="B23" s="135"/>
      <c r="C23" s="135"/>
      <c r="D23" s="102"/>
      <c r="E23" s="105" t="str">
        <f>IF(OR(ISBLANK(Term2_Day_1[[#This Row],[Start]]),ISBLANK(Term2_Day_1[[#This Row],[End]])),"",(Term2_Day_1[[#This Row],[End]]-Term2_Day_1[[#This Row],[Start]])*1440)</f>
        <v/>
      </c>
      <c r="F23" s="105" t="str">
        <f>IF(ISBLANK(Term2_Day_1[[#This Row],[Activity]]),"",IF(_xlfn.XLOOKUP(Term2_Day_1[[#This Row],[Activity]],Types_of_Activity[Type of Activity],Types_of_Activity[Classification])=1,Term2_Day_1[[#This Row],[Elapsed]],0))</f>
        <v/>
      </c>
      <c r="G23" s="105" t="str">
        <f>IF(ISBLANK(Term2_Day_1[[#This Row],[Activity]]),"",IF(_xlfn.XLOOKUP(Term2_Day_1[[#This Row],[Activity]],Types_of_Activity[Type of Activity],Types_of_Activity[Classification])=2,Term2_Day_1[[#This Row],[Elapsed]],0))</f>
        <v/>
      </c>
      <c r="I23" s="135"/>
      <c r="J23" s="135"/>
      <c r="K23" s="102"/>
      <c r="L23" s="105" t="str">
        <f>IF(OR(ISBLANK(Term2_Day_2[[#This Row],[Start]]),ISBLANK(Term2_Day_2[[#This Row],[End]])),"",(Term2_Day_2[[#This Row],[End]]-Term2_Day_2[[#This Row],[Start]])*1440)</f>
        <v/>
      </c>
      <c r="M23" s="105" t="str">
        <f>IF(ISBLANK(Term2_Day_2[[#This Row],[Activity]]),"",IF(_xlfn.XLOOKUP(Term2_Day_2[[#This Row],[Activity]],Types_of_Activity[Type of Activity],Types_of_Activity[Classification])=1,Term2_Day_2[[#This Row],[Elapsed]],0))</f>
        <v/>
      </c>
      <c r="N23" s="105" t="str">
        <f>IF(ISBLANK(Term2_Day_2[[#This Row],[Activity]]),"",IF(_xlfn.XLOOKUP(Term2_Day_2[[#This Row],[Activity]],Types_of_Activity[Type of Activity],Types_of_Activity[Classification])=2,Term2_Day_2[[#This Row],[Elapsed]],0))</f>
        <v/>
      </c>
      <c r="P23" s="135"/>
      <c r="Q23" s="135"/>
      <c r="R23" s="102"/>
      <c r="S23" s="105" t="str">
        <f>IF(OR(ISBLANK(Term2_Day_3[[#This Row],[Start]]),ISBLANK(Term2_Day_3[[#This Row],[End]])),"",(Term2_Day_3[[#This Row],[End]]-Term2_Day_3[[#This Row],[Start]])*1440)</f>
        <v/>
      </c>
      <c r="T23" s="105" t="str">
        <f>IF(ISBLANK(Term2_Day_3[[#This Row],[Activity]]),"",IF(_xlfn.XLOOKUP(Term2_Day_3[[#This Row],[Activity]],Types_of_Activity[Type of Activity],Types_of_Activity[Classification])=1,Term2_Day_3[[#This Row],[Elapsed]],0))</f>
        <v/>
      </c>
      <c r="U23" s="105" t="str">
        <f>IF(ISBLANK(Term2_Day_3[[#This Row],[Activity]]),"",IF(_xlfn.XLOOKUP(Term2_Day_3[[#This Row],[Activity]],Types_of_Activity[Type of Activity],Types_of_Activity[Classification])=2,Term2_Day_3[[#This Row],[Elapsed]],0))</f>
        <v/>
      </c>
      <c r="W23" s="135"/>
      <c r="X23" s="135"/>
      <c r="Y23" s="102"/>
      <c r="Z23" s="105" t="str">
        <f>IF(OR(ISBLANK(Term2_Day_4[[#This Row],[Start]]),ISBLANK(Term2_Day_4[[#This Row],[End]])),"",(Term2_Day_4[[#This Row],[End]]-Term2_Day_4[[#This Row],[Start]])*1440)</f>
        <v/>
      </c>
      <c r="AA23" s="105" t="str">
        <f>IF(ISBLANK(Term2_Day_4[[#This Row],[Activity]]),"",IF(_xlfn.XLOOKUP(Term2_Day_4[[#This Row],[Activity]],Types_of_Activity[Type of Activity],Types_of_Activity[Classification])=1,Term2_Day_4[[#This Row],[Elapsed]],0))</f>
        <v/>
      </c>
      <c r="AB23" s="105" t="str">
        <f>IF(ISBLANK(Term2_Day_4[[#This Row],[Activity]]),"",IF(_xlfn.XLOOKUP(Term2_Day_4[[#This Row],[Activity]],Types_of_Activity[Type of Activity],Types_of_Activity[Classification])=2,Term2_Day_4[[#This Row],[Elapsed]],0))</f>
        <v/>
      </c>
      <c r="AD23" s="135"/>
      <c r="AE23" s="135"/>
      <c r="AF23" s="102"/>
      <c r="AG23" s="105" t="str">
        <f>IF(OR(ISBLANK(Term2_Day_5[[#This Row],[Start]]),ISBLANK(Term2_Day_5[[#This Row],[End]])),"",(Term2_Day_5[[#This Row],[End]]-Term2_Day_5[[#This Row],[Start]])*1440)</f>
        <v/>
      </c>
      <c r="AH23" s="105" t="str">
        <f>IF(ISBLANK(Term2_Day_5[[#This Row],[Activity]]),"",IF(_xlfn.XLOOKUP(Term2_Day_5[[#This Row],[Activity]],Types_of_Activity[Type of Activity],Types_of_Activity[Classification])=1,Term2_Day_5[[#This Row],[Elapsed]],0))</f>
        <v/>
      </c>
      <c r="AI23" s="105" t="str">
        <f>IF(ISBLANK(Term2_Day_5[[#This Row],[Activity]]),"",IF(_xlfn.XLOOKUP(Term2_Day_5[[#This Row],[Activity]],Types_of_Activity[Type of Activity],Types_of_Activity[Classification])=2,Term2_Day_5[[#This Row],[Elapsed]],0))</f>
        <v/>
      </c>
      <c r="AJ23" s="106"/>
      <c r="AK23" s="135"/>
      <c r="AL23" s="135"/>
      <c r="AM23" s="102"/>
      <c r="AN23" s="105" t="str">
        <f>IF(OR(ISBLANK(Term2_Day_6[[#This Row],[Start]]),ISBLANK(Term2_Day_6[[#This Row],[End]])),"",(Term2_Day_6[[#This Row],[End]]-Term2_Day_6[[#This Row],[Start]])*1440)</f>
        <v/>
      </c>
      <c r="AO23" s="105" t="str">
        <f>IF(ISBLANK(Term2_Day_6[[#This Row],[Activity]]),"",IF(_xlfn.XLOOKUP(Term2_Day_6[[#This Row],[Activity]],Types_of_Activity[Type of Activity],Types_of_Activity[Classification])=1,Term2_Day_6[[#This Row],[Elapsed]],0))</f>
        <v/>
      </c>
      <c r="AP23" s="105" t="str">
        <f>IF(ISBLANK(Term2_Day_6[[#This Row],[Activity]]),"",IF(_xlfn.XLOOKUP(Term2_Day_6[[#This Row],[Activity]],Types_of_Activity[Type of Activity],Types_of_Activity[Classification])=2,Term2_Day_6[[#This Row],[Elapsed]],0))</f>
        <v/>
      </c>
      <c r="AQ23" s="106"/>
      <c r="AR23" s="135"/>
      <c r="AS23" s="135"/>
      <c r="AT23" s="102"/>
      <c r="AU23" s="105" t="str">
        <f>IF(OR(ISBLANK(Term2_Day_7[[#This Row],[Start]]),ISBLANK(Term2_Day_7[[#This Row],[End]])),"",(Term2_Day_7[[#This Row],[End]]-Term2_Day_7[[#This Row],[Start]])*1440)</f>
        <v/>
      </c>
      <c r="AV23" s="105" t="str">
        <f>IF(ISBLANK(Term2_Day_7[[#This Row],[Activity]]),"",IF(_xlfn.XLOOKUP(Term2_Day_7[[#This Row],[Activity]],Types_of_Activity[Type of Activity],Types_of_Activity[Classification])=1,Term2_Day_7[[#This Row],[Elapsed]],0))</f>
        <v/>
      </c>
      <c r="AW23" s="105" t="str">
        <f>IF(ISBLANK(Term2_Day_7[[#This Row],[Activity]]),"",IF(_xlfn.XLOOKUP(Term2_Day_7[[#This Row],[Activity]],Types_of_Activity[Type of Activity],Types_of_Activity[Classification])=2,Term2_Day_7[[#This Row],[Elapsed]],0))</f>
        <v/>
      </c>
      <c r="AX23" s="106"/>
      <c r="AY23" s="135"/>
      <c r="AZ23" s="135"/>
      <c r="BA23" s="102"/>
      <c r="BB23" s="105" t="str">
        <f>IF(OR(ISBLANK(Term2_Day_8[[#This Row],[Start]]),ISBLANK(Term2_Day_8[[#This Row],[End]])),"",(Term2_Day_8[[#This Row],[End]]-Term2_Day_8[[#This Row],[Start]])*1440)</f>
        <v/>
      </c>
      <c r="BC23" s="105" t="str">
        <f>IF(ISBLANK(Term2_Day_8[[#This Row],[Activity]]),"",IF(_xlfn.XLOOKUP(Term2_Day_8[[#This Row],[Activity]],Types_of_Activity[Type of Activity],Types_of_Activity[Classification])=1,Term2_Day_8[[#This Row],[Elapsed]],0))</f>
        <v/>
      </c>
      <c r="BD23" s="105" t="str">
        <f>IF(ISBLANK(Term2_Day_8[[#This Row],[Activity]]),"",IF(_xlfn.XLOOKUP(Term2_Day_8[[#This Row],[Activity]],Types_of_Activity[Type of Activity],Types_of_Activity[Classification])=2,Term2_Day_8[[#This Row],[Elapsed]],0))</f>
        <v/>
      </c>
      <c r="BE23" s="106"/>
      <c r="BF23" s="135"/>
      <c r="BG23" s="135"/>
      <c r="BH23" s="102"/>
      <c r="BI23" s="105" t="str">
        <f>IF(OR(ISBLANK(Term2_Day_9[[#This Row],[Start]]),ISBLANK(Term2_Day_9[[#This Row],[End]])),"",(Term2_Day_9[[#This Row],[End]]-Term2_Day_9[[#This Row],[Start]])*1440)</f>
        <v/>
      </c>
      <c r="BJ23" s="105" t="str">
        <f>IF(ISBLANK(Term2_Day_9[[#This Row],[Activity]]),"",IF(_xlfn.XLOOKUP(Term2_Day_9[[#This Row],[Activity]],Types_of_Activity[Type of Activity],Types_of_Activity[Classification])=1,Term2_Day_9[[#This Row],[Elapsed]],0))</f>
        <v/>
      </c>
      <c r="BK23" s="105" t="str">
        <f>IF(ISBLANK(Term2_Day_9[[#This Row],[Activity]]),"",IF(_xlfn.XLOOKUP(Term2_Day_9[[#This Row],[Activity]],Types_of_Activity[Type of Activity],Types_of_Activity[Classification])=2,Term2_Day_9[[#This Row],[Elapsed]],0))</f>
        <v/>
      </c>
      <c r="BL23" s="106"/>
      <c r="BM23" s="135"/>
      <c r="BN23" s="135"/>
      <c r="BO23" s="102"/>
      <c r="BP23" s="105" t="str">
        <f>IF(OR(ISBLANK(Term2_Day_10[[#This Row],[Start]]),ISBLANK(Term2_Day_10[[#This Row],[End]])),"",(Term2_Day_10[[#This Row],[End]]-Term2_Day_10[[#This Row],[Start]])*1440)</f>
        <v/>
      </c>
      <c r="BQ23" s="105" t="str">
        <f>IF(ISBLANK(Term2_Day_10[[#This Row],[Activity]]),"",IF(_xlfn.XLOOKUP(Term2_Day_10[[#This Row],[Activity]],Types_of_Activity[Type of Activity],Types_of_Activity[Classification])=1,Term2_Day_10[[#This Row],[Elapsed]],0))</f>
        <v/>
      </c>
      <c r="BR23" s="105" t="str">
        <f>IF(ISBLANK(Term2_Day_10[[#This Row],[Activity]]),"",IF(_xlfn.XLOOKUP(Term2_Day_10[[#This Row],[Activity]],Types_of_Activity[Type of Activity],Types_of_Activity[Classification])=2,Term2_Day_10[[#This Row],[Elapsed]],0))</f>
        <v/>
      </c>
      <c r="BS23" s="106"/>
    </row>
    <row r="24" spans="2:71" x14ac:dyDescent="0.3">
      <c r="B24" s="135"/>
      <c r="C24" s="135"/>
      <c r="D24" s="102"/>
      <c r="E24" s="105" t="str">
        <f>IF(OR(ISBLANK(Term2_Day_1[[#This Row],[Start]]),ISBLANK(Term2_Day_1[[#This Row],[End]])),"",(Term2_Day_1[[#This Row],[End]]-Term2_Day_1[[#This Row],[Start]])*1440)</f>
        <v/>
      </c>
      <c r="F24" s="105" t="str">
        <f>IF(ISBLANK(Term2_Day_1[[#This Row],[Activity]]),"",IF(_xlfn.XLOOKUP(Term2_Day_1[[#This Row],[Activity]],Types_of_Activity[Type of Activity],Types_of_Activity[Classification])=1,Term2_Day_1[[#This Row],[Elapsed]],0))</f>
        <v/>
      </c>
      <c r="G24" s="105" t="str">
        <f>IF(ISBLANK(Term2_Day_1[[#This Row],[Activity]]),"",IF(_xlfn.XLOOKUP(Term2_Day_1[[#This Row],[Activity]],Types_of_Activity[Type of Activity],Types_of_Activity[Classification])=2,Term2_Day_1[[#This Row],[Elapsed]],0))</f>
        <v/>
      </c>
      <c r="I24" s="135"/>
      <c r="J24" s="135"/>
      <c r="K24" s="102"/>
      <c r="L24" s="105" t="str">
        <f>IF(OR(ISBLANK(Term2_Day_2[[#This Row],[Start]]),ISBLANK(Term2_Day_2[[#This Row],[End]])),"",(Term2_Day_2[[#This Row],[End]]-Term2_Day_2[[#This Row],[Start]])*1440)</f>
        <v/>
      </c>
      <c r="M24" s="105" t="str">
        <f>IF(ISBLANK(Term2_Day_2[[#This Row],[Activity]]),"",IF(_xlfn.XLOOKUP(Term2_Day_2[[#This Row],[Activity]],Types_of_Activity[Type of Activity],Types_of_Activity[Classification])=1,Term2_Day_2[[#This Row],[Elapsed]],0))</f>
        <v/>
      </c>
      <c r="N24" s="105" t="str">
        <f>IF(ISBLANK(Term2_Day_2[[#This Row],[Activity]]),"",IF(_xlfn.XLOOKUP(Term2_Day_2[[#This Row],[Activity]],Types_of_Activity[Type of Activity],Types_of_Activity[Classification])=2,Term2_Day_2[[#This Row],[Elapsed]],0))</f>
        <v/>
      </c>
      <c r="P24" s="135"/>
      <c r="Q24" s="135"/>
      <c r="R24" s="102"/>
      <c r="S24" s="105" t="str">
        <f>IF(OR(ISBLANK(Term2_Day_3[[#This Row],[Start]]),ISBLANK(Term2_Day_3[[#This Row],[End]])),"",(Term2_Day_3[[#This Row],[End]]-Term2_Day_3[[#This Row],[Start]])*1440)</f>
        <v/>
      </c>
      <c r="T24" s="105" t="str">
        <f>IF(ISBLANK(Term2_Day_3[[#This Row],[Activity]]),"",IF(_xlfn.XLOOKUP(Term2_Day_3[[#This Row],[Activity]],Types_of_Activity[Type of Activity],Types_of_Activity[Classification])=1,Term2_Day_3[[#This Row],[Elapsed]],0))</f>
        <v/>
      </c>
      <c r="U24" s="105" t="str">
        <f>IF(ISBLANK(Term2_Day_3[[#This Row],[Activity]]),"",IF(_xlfn.XLOOKUP(Term2_Day_3[[#This Row],[Activity]],Types_of_Activity[Type of Activity],Types_of_Activity[Classification])=2,Term2_Day_3[[#This Row],[Elapsed]],0))</f>
        <v/>
      </c>
      <c r="W24" s="135"/>
      <c r="X24" s="135"/>
      <c r="Y24" s="102"/>
      <c r="Z24" s="105" t="str">
        <f>IF(OR(ISBLANK(Term2_Day_4[[#This Row],[Start]]),ISBLANK(Term2_Day_4[[#This Row],[End]])),"",(Term2_Day_4[[#This Row],[End]]-Term2_Day_4[[#This Row],[Start]])*1440)</f>
        <v/>
      </c>
      <c r="AA24" s="105" t="str">
        <f>IF(ISBLANK(Term2_Day_4[[#This Row],[Activity]]),"",IF(_xlfn.XLOOKUP(Term2_Day_4[[#This Row],[Activity]],Types_of_Activity[Type of Activity],Types_of_Activity[Classification])=1,Term2_Day_4[[#This Row],[Elapsed]],0))</f>
        <v/>
      </c>
      <c r="AB24" s="105" t="str">
        <f>IF(ISBLANK(Term2_Day_4[[#This Row],[Activity]]),"",IF(_xlfn.XLOOKUP(Term2_Day_4[[#This Row],[Activity]],Types_of_Activity[Type of Activity],Types_of_Activity[Classification])=2,Term2_Day_4[[#This Row],[Elapsed]],0))</f>
        <v/>
      </c>
      <c r="AD24" s="135"/>
      <c r="AE24" s="135"/>
      <c r="AF24" s="102"/>
      <c r="AG24" s="105" t="str">
        <f>IF(OR(ISBLANK(Term2_Day_5[[#This Row],[Start]]),ISBLANK(Term2_Day_5[[#This Row],[End]])),"",(Term2_Day_5[[#This Row],[End]]-Term2_Day_5[[#This Row],[Start]])*1440)</f>
        <v/>
      </c>
      <c r="AH24" s="105" t="str">
        <f>IF(ISBLANK(Term2_Day_5[[#This Row],[Activity]]),"",IF(_xlfn.XLOOKUP(Term2_Day_5[[#This Row],[Activity]],Types_of_Activity[Type of Activity],Types_of_Activity[Classification])=1,Term2_Day_5[[#This Row],[Elapsed]],0))</f>
        <v/>
      </c>
      <c r="AI24" s="105" t="str">
        <f>IF(ISBLANK(Term2_Day_5[[#This Row],[Activity]]),"",IF(_xlfn.XLOOKUP(Term2_Day_5[[#This Row],[Activity]],Types_of_Activity[Type of Activity],Types_of_Activity[Classification])=2,Term2_Day_5[[#This Row],[Elapsed]],0))</f>
        <v/>
      </c>
      <c r="AJ24" s="106"/>
      <c r="AK24" s="135"/>
      <c r="AL24" s="135"/>
      <c r="AM24" s="102"/>
      <c r="AN24" s="105" t="str">
        <f>IF(OR(ISBLANK(Term2_Day_6[[#This Row],[Start]]),ISBLANK(Term2_Day_6[[#This Row],[End]])),"",(Term2_Day_6[[#This Row],[End]]-Term2_Day_6[[#This Row],[Start]])*1440)</f>
        <v/>
      </c>
      <c r="AO24" s="105" t="str">
        <f>IF(ISBLANK(Term2_Day_6[[#This Row],[Activity]]),"",IF(_xlfn.XLOOKUP(Term2_Day_6[[#This Row],[Activity]],Types_of_Activity[Type of Activity],Types_of_Activity[Classification])=1,Term2_Day_6[[#This Row],[Elapsed]],0))</f>
        <v/>
      </c>
      <c r="AP24" s="105" t="str">
        <f>IF(ISBLANK(Term2_Day_6[[#This Row],[Activity]]),"",IF(_xlfn.XLOOKUP(Term2_Day_6[[#This Row],[Activity]],Types_of_Activity[Type of Activity],Types_of_Activity[Classification])=2,Term2_Day_6[[#This Row],[Elapsed]],0))</f>
        <v/>
      </c>
      <c r="AQ24" s="106"/>
      <c r="AR24" s="135"/>
      <c r="AS24" s="135"/>
      <c r="AT24" s="102"/>
      <c r="AU24" s="105" t="str">
        <f>IF(OR(ISBLANK(Term2_Day_7[[#This Row],[Start]]),ISBLANK(Term2_Day_7[[#This Row],[End]])),"",(Term2_Day_7[[#This Row],[End]]-Term2_Day_7[[#This Row],[Start]])*1440)</f>
        <v/>
      </c>
      <c r="AV24" s="105" t="str">
        <f>IF(ISBLANK(Term2_Day_7[[#This Row],[Activity]]),"",IF(_xlfn.XLOOKUP(Term2_Day_7[[#This Row],[Activity]],Types_of_Activity[Type of Activity],Types_of_Activity[Classification])=1,Term2_Day_7[[#This Row],[Elapsed]],0))</f>
        <v/>
      </c>
      <c r="AW24" s="105" t="str">
        <f>IF(ISBLANK(Term2_Day_7[[#This Row],[Activity]]),"",IF(_xlfn.XLOOKUP(Term2_Day_7[[#This Row],[Activity]],Types_of_Activity[Type of Activity],Types_of_Activity[Classification])=2,Term2_Day_7[[#This Row],[Elapsed]],0))</f>
        <v/>
      </c>
      <c r="AX24" s="106"/>
      <c r="AY24" s="135"/>
      <c r="AZ24" s="135"/>
      <c r="BA24" s="102"/>
      <c r="BB24" s="105" t="str">
        <f>IF(OR(ISBLANK(Term2_Day_8[[#This Row],[Start]]),ISBLANK(Term2_Day_8[[#This Row],[End]])),"",(Term2_Day_8[[#This Row],[End]]-Term2_Day_8[[#This Row],[Start]])*1440)</f>
        <v/>
      </c>
      <c r="BC24" s="105" t="str">
        <f>IF(ISBLANK(Term2_Day_8[[#This Row],[Activity]]),"",IF(_xlfn.XLOOKUP(Term2_Day_8[[#This Row],[Activity]],Types_of_Activity[Type of Activity],Types_of_Activity[Classification])=1,Term2_Day_8[[#This Row],[Elapsed]],0))</f>
        <v/>
      </c>
      <c r="BD24" s="105" t="str">
        <f>IF(ISBLANK(Term2_Day_8[[#This Row],[Activity]]),"",IF(_xlfn.XLOOKUP(Term2_Day_8[[#This Row],[Activity]],Types_of_Activity[Type of Activity],Types_of_Activity[Classification])=2,Term2_Day_8[[#This Row],[Elapsed]],0))</f>
        <v/>
      </c>
      <c r="BE24" s="106"/>
      <c r="BF24" s="135"/>
      <c r="BG24" s="135"/>
      <c r="BH24" s="102"/>
      <c r="BI24" s="105" t="str">
        <f>IF(OR(ISBLANK(Term2_Day_9[[#This Row],[Start]]),ISBLANK(Term2_Day_9[[#This Row],[End]])),"",(Term2_Day_9[[#This Row],[End]]-Term2_Day_9[[#This Row],[Start]])*1440)</f>
        <v/>
      </c>
      <c r="BJ24" s="105" t="str">
        <f>IF(ISBLANK(Term2_Day_9[[#This Row],[Activity]]),"",IF(_xlfn.XLOOKUP(Term2_Day_9[[#This Row],[Activity]],Types_of_Activity[Type of Activity],Types_of_Activity[Classification])=1,Term2_Day_9[[#This Row],[Elapsed]],0))</f>
        <v/>
      </c>
      <c r="BK24" s="105" t="str">
        <f>IF(ISBLANK(Term2_Day_9[[#This Row],[Activity]]),"",IF(_xlfn.XLOOKUP(Term2_Day_9[[#This Row],[Activity]],Types_of_Activity[Type of Activity],Types_of_Activity[Classification])=2,Term2_Day_9[[#This Row],[Elapsed]],0))</f>
        <v/>
      </c>
      <c r="BL24" s="106"/>
      <c r="BM24" s="135"/>
      <c r="BN24" s="135"/>
      <c r="BO24" s="102"/>
      <c r="BP24" s="105" t="str">
        <f>IF(OR(ISBLANK(Term2_Day_10[[#This Row],[Start]]),ISBLANK(Term2_Day_10[[#This Row],[End]])),"",(Term2_Day_10[[#This Row],[End]]-Term2_Day_10[[#This Row],[Start]])*1440)</f>
        <v/>
      </c>
      <c r="BQ24" s="105" t="str">
        <f>IF(ISBLANK(Term2_Day_10[[#This Row],[Activity]]),"",IF(_xlfn.XLOOKUP(Term2_Day_10[[#This Row],[Activity]],Types_of_Activity[Type of Activity],Types_of_Activity[Classification])=1,Term2_Day_10[[#This Row],[Elapsed]],0))</f>
        <v/>
      </c>
      <c r="BR24" s="105" t="str">
        <f>IF(ISBLANK(Term2_Day_10[[#This Row],[Activity]]),"",IF(_xlfn.XLOOKUP(Term2_Day_10[[#This Row],[Activity]],Types_of_Activity[Type of Activity],Types_of_Activity[Classification])=2,Term2_Day_10[[#This Row],[Elapsed]],0))</f>
        <v/>
      </c>
      <c r="BS24" s="106"/>
    </row>
    <row r="25" spans="2:71" x14ac:dyDescent="0.3">
      <c r="B25" s="135"/>
      <c r="C25" s="135"/>
      <c r="D25" s="102"/>
      <c r="E25" s="105" t="str">
        <f>IF(OR(ISBLANK(Term2_Day_1[[#This Row],[Start]]),ISBLANK(Term2_Day_1[[#This Row],[End]])),"",(Term2_Day_1[[#This Row],[End]]-Term2_Day_1[[#This Row],[Start]])*1440)</f>
        <v/>
      </c>
      <c r="F25" s="105" t="str">
        <f>IF(ISBLANK(Term2_Day_1[[#This Row],[Activity]]),"",IF(_xlfn.XLOOKUP(Term2_Day_1[[#This Row],[Activity]],Types_of_Activity[Type of Activity],Types_of_Activity[Classification])=1,Term2_Day_1[[#This Row],[Elapsed]],0))</f>
        <v/>
      </c>
      <c r="G25" s="105" t="str">
        <f>IF(ISBLANK(Term2_Day_1[[#This Row],[Activity]]),"",IF(_xlfn.XLOOKUP(Term2_Day_1[[#This Row],[Activity]],Types_of_Activity[Type of Activity],Types_of_Activity[Classification])=2,Term2_Day_1[[#This Row],[Elapsed]],0))</f>
        <v/>
      </c>
      <c r="I25" s="135"/>
      <c r="J25" s="135"/>
      <c r="K25" s="102"/>
      <c r="L25" s="105" t="str">
        <f>IF(OR(ISBLANK(Term2_Day_2[[#This Row],[Start]]),ISBLANK(Term2_Day_2[[#This Row],[End]])),"",(Term2_Day_2[[#This Row],[End]]-Term2_Day_2[[#This Row],[Start]])*1440)</f>
        <v/>
      </c>
      <c r="M25" s="105" t="str">
        <f>IF(ISBLANK(Term2_Day_2[[#This Row],[Activity]]),"",IF(_xlfn.XLOOKUP(Term2_Day_2[[#This Row],[Activity]],Types_of_Activity[Type of Activity],Types_of_Activity[Classification])=1,Term2_Day_2[[#This Row],[Elapsed]],0))</f>
        <v/>
      </c>
      <c r="N25" s="105" t="str">
        <f>IF(ISBLANK(Term2_Day_2[[#This Row],[Activity]]),"",IF(_xlfn.XLOOKUP(Term2_Day_2[[#This Row],[Activity]],Types_of_Activity[Type of Activity],Types_of_Activity[Classification])=2,Term2_Day_2[[#This Row],[Elapsed]],0))</f>
        <v/>
      </c>
      <c r="P25" s="135"/>
      <c r="Q25" s="135"/>
      <c r="R25" s="102"/>
      <c r="S25" s="105" t="str">
        <f>IF(OR(ISBLANK(Term2_Day_3[[#This Row],[Start]]),ISBLANK(Term2_Day_3[[#This Row],[End]])),"",(Term2_Day_3[[#This Row],[End]]-Term2_Day_3[[#This Row],[Start]])*1440)</f>
        <v/>
      </c>
      <c r="T25" s="105" t="str">
        <f>IF(ISBLANK(Term2_Day_3[[#This Row],[Activity]]),"",IF(_xlfn.XLOOKUP(Term2_Day_3[[#This Row],[Activity]],Types_of_Activity[Type of Activity],Types_of_Activity[Classification])=1,Term2_Day_3[[#This Row],[Elapsed]],0))</f>
        <v/>
      </c>
      <c r="U25" s="105" t="str">
        <f>IF(ISBLANK(Term2_Day_3[[#This Row],[Activity]]),"",IF(_xlfn.XLOOKUP(Term2_Day_3[[#This Row],[Activity]],Types_of_Activity[Type of Activity],Types_of_Activity[Classification])=2,Term2_Day_3[[#This Row],[Elapsed]],0))</f>
        <v/>
      </c>
      <c r="W25" s="135"/>
      <c r="X25" s="135"/>
      <c r="Y25" s="102"/>
      <c r="Z25" s="105" t="str">
        <f>IF(OR(ISBLANK(Term2_Day_4[[#This Row],[Start]]),ISBLANK(Term2_Day_4[[#This Row],[End]])),"",(Term2_Day_4[[#This Row],[End]]-Term2_Day_4[[#This Row],[Start]])*1440)</f>
        <v/>
      </c>
      <c r="AA25" s="105" t="str">
        <f>IF(ISBLANK(Term2_Day_4[[#This Row],[Activity]]),"",IF(_xlfn.XLOOKUP(Term2_Day_4[[#This Row],[Activity]],Types_of_Activity[Type of Activity],Types_of_Activity[Classification])=1,Term2_Day_4[[#This Row],[Elapsed]],0))</f>
        <v/>
      </c>
      <c r="AB25" s="105" t="str">
        <f>IF(ISBLANK(Term2_Day_4[[#This Row],[Activity]]),"",IF(_xlfn.XLOOKUP(Term2_Day_4[[#This Row],[Activity]],Types_of_Activity[Type of Activity],Types_of_Activity[Classification])=2,Term2_Day_4[[#This Row],[Elapsed]],0))</f>
        <v/>
      </c>
      <c r="AD25" s="135"/>
      <c r="AE25" s="135"/>
      <c r="AF25" s="102"/>
      <c r="AG25" s="105" t="str">
        <f>IF(OR(ISBLANK(Term2_Day_5[[#This Row],[Start]]),ISBLANK(Term2_Day_5[[#This Row],[End]])),"",(Term2_Day_5[[#This Row],[End]]-Term2_Day_5[[#This Row],[Start]])*1440)</f>
        <v/>
      </c>
      <c r="AH25" s="105" t="str">
        <f>IF(ISBLANK(Term2_Day_5[[#This Row],[Activity]]),"",IF(_xlfn.XLOOKUP(Term2_Day_5[[#This Row],[Activity]],Types_of_Activity[Type of Activity],Types_of_Activity[Classification])=1,Term2_Day_5[[#This Row],[Elapsed]],0))</f>
        <v/>
      </c>
      <c r="AI25" s="105" t="str">
        <f>IF(ISBLANK(Term2_Day_5[[#This Row],[Activity]]),"",IF(_xlfn.XLOOKUP(Term2_Day_5[[#This Row],[Activity]],Types_of_Activity[Type of Activity],Types_of_Activity[Classification])=2,Term2_Day_5[[#This Row],[Elapsed]],0))</f>
        <v/>
      </c>
      <c r="AJ25" s="106"/>
      <c r="AK25" s="135"/>
      <c r="AL25" s="135"/>
      <c r="AM25" s="102"/>
      <c r="AN25" s="105" t="str">
        <f>IF(OR(ISBLANK(Term2_Day_6[[#This Row],[Start]]),ISBLANK(Term2_Day_6[[#This Row],[End]])),"",(Term2_Day_6[[#This Row],[End]]-Term2_Day_6[[#This Row],[Start]])*1440)</f>
        <v/>
      </c>
      <c r="AO25" s="105" t="str">
        <f>IF(ISBLANK(Term2_Day_6[[#This Row],[Activity]]),"",IF(_xlfn.XLOOKUP(Term2_Day_6[[#This Row],[Activity]],Types_of_Activity[Type of Activity],Types_of_Activity[Classification])=1,Term2_Day_6[[#This Row],[Elapsed]],0))</f>
        <v/>
      </c>
      <c r="AP25" s="105" t="str">
        <f>IF(ISBLANK(Term2_Day_6[[#This Row],[Activity]]),"",IF(_xlfn.XLOOKUP(Term2_Day_6[[#This Row],[Activity]],Types_of_Activity[Type of Activity],Types_of_Activity[Classification])=2,Term2_Day_6[[#This Row],[Elapsed]],0))</f>
        <v/>
      </c>
      <c r="AQ25" s="106"/>
      <c r="AR25" s="135"/>
      <c r="AS25" s="135"/>
      <c r="AT25" s="102"/>
      <c r="AU25" s="105" t="str">
        <f>IF(OR(ISBLANK(Term2_Day_7[[#This Row],[Start]]),ISBLANK(Term2_Day_7[[#This Row],[End]])),"",(Term2_Day_7[[#This Row],[End]]-Term2_Day_7[[#This Row],[Start]])*1440)</f>
        <v/>
      </c>
      <c r="AV25" s="105" t="str">
        <f>IF(ISBLANK(Term2_Day_7[[#This Row],[Activity]]),"",IF(_xlfn.XLOOKUP(Term2_Day_7[[#This Row],[Activity]],Types_of_Activity[Type of Activity],Types_of_Activity[Classification])=1,Term2_Day_7[[#This Row],[Elapsed]],0))</f>
        <v/>
      </c>
      <c r="AW25" s="105" t="str">
        <f>IF(ISBLANK(Term2_Day_7[[#This Row],[Activity]]),"",IF(_xlfn.XLOOKUP(Term2_Day_7[[#This Row],[Activity]],Types_of_Activity[Type of Activity],Types_of_Activity[Classification])=2,Term2_Day_7[[#This Row],[Elapsed]],0))</f>
        <v/>
      </c>
      <c r="AX25" s="106"/>
      <c r="AY25" s="135"/>
      <c r="AZ25" s="135"/>
      <c r="BA25" s="102"/>
      <c r="BB25" s="105" t="str">
        <f>IF(OR(ISBLANK(Term2_Day_8[[#This Row],[Start]]),ISBLANK(Term2_Day_8[[#This Row],[End]])),"",(Term2_Day_8[[#This Row],[End]]-Term2_Day_8[[#This Row],[Start]])*1440)</f>
        <v/>
      </c>
      <c r="BC25" s="105" t="str">
        <f>IF(ISBLANK(Term2_Day_8[[#This Row],[Activity]]),"",IF(_xlfn.XLOOKUP(Term2_Day_8[[#This Row],[Activity]],Types_of_Activity[Type of Activity],Types_of_Activity[Classification])=1,Term2_Day_8[[#This Row],[Elapsed]],0))</f>
        <v/>
      </c>
      <c r="BD25" s="105" t="str">
        <f>IF(ISBLANK(Term2_Day_8[[#This Row],[Activity]]),"",IF(_xlfn.XLOOKUP(Term2_Day_8[[#This Row],[Activity]],Types_of_Activity[Type of Activity],Types_of_Activity[Classification])=2,Term2_Day_8[[#This Row],[Elapsed]],0))</f>
        <v/>
      </c>
      <c r="BE25" s="106"/>
      <c r="BF25" s="135"/>
      <c r="BG25" s="135"/>
      <c r="BH25" s="102"/>
      <c r="BI25" s="105" t="str">
        <f>IF(OR(ISBLANK(Term2_Day_9[[#This Row],[Start]]),ISBLANK(Term2_Day_9[[#This Row],[End]])),"",(Term2_Day_9[[#This Row],[End]]-Term2_Day_9[[#This Row],[Start]])*1440)</f>
        <v/>
      </c>
      <c r="BJ25" s="105" t="str">
        <f>IF(ISBLANK(Term2_Day_9[[#This Row],[Activity]]),"",IF(_xlfn.XLOOKUP(Term2_Day_9[[#This Row],[Activity]],Types_of_Activity[Type of Activity],Types_of_Activity[Classification])=1,Term2_Day_9[[#This Row],[Elapsed]],0))</f>
        <v/>
      </c>
      <c r="BK25" s="105" t="str">
        <f>IF(ISBLANK(Term2_Day_9[[#This Row],[Activity]]),"",IF(_xlfn.XLOOKUP(Term2_Day_9[[#This Row],[Activity]],Types_of_Activity[Type of Activity],Types_of_Activity[Classification])=2,Term2_Day_9[[#This Row],[Elapsed]],0))</f>
        <v/>
      </c>
      <c r="BL25" s="106"/>
      <c r="BM25" s="135"/>
      <c r="BN25" s="135"/>
      <c r="BO25" s="102"/>
      <c r="BP25" s="105" t="str">
        <f>IF(OR(ISBLANK(Term2_Day_10[[#This Row],[Start]]),ISBLANK(Term2_Day_10[[#This Row],[End]])),"",(Term2_Day_10[[#This Row],[End]]-Term2_Day_10[[#This Row],[Start]])*1440)</f>
        <v/>
      </c>
      <c r="BQ25" s="105" t="str">
        <f>IF(ISBLANK(Term2_Day_10[[#This Row],[Activity]]),"",IF(_xlfn.XLOOKUP(Term2_Day_10[[#This Row],[Activity]],Types_of_Activity[Type of Activity],Types_of_Activity[Classification])=1,Term2_Day_10[[#This Row],[Elapsed]],0))</f>
        <v/>
      </c>
      <c r="BR25" s="105" t="str">
        <f>IF(ISBLANK(Term2_Day_10[[#This Row],[Activity]]),"",IF(_xlfn.XLOOKUP(Term2_Day_10[[#This Row],[Activity]],Types_of_Activity[Type of Activity],Types_of_Activity[Classification])=2,Term2_Day_10[[#This Row],[Elapsed]],0))</f>
        <v/>
      </c>
      <c r="BS25" s="106"/>
    </row>
    <row r="26" spans="2:71" x14ac:dyDescent="0.3">
      <c r="B26" s="135"/>
      <c r="C26" s="135"/>
      <c r="D26" s="102"/>
      <c r="E26" s="105" t="str">
        <f>IF(OR(ISBLANK(Term2_Day_1[[#This Row],[Start]]),ISBLANK(Term2_Day_1[[#This Row],[End]])),"",(Term2_Day_1[[#This Row],[End]]-Term2_Day_1[[#This Row],[Start]])*1440)</f>
        <v/>
      </c>
      <c r="F26" s="105" t="str">
        <f>IF(ISBLANK(Term2_Day_1[[#This Row],[Activity]]),"",IF(_xlfn.XLOOKUP(Term2_Day_1[[#This Row],[Activity]],Types_of_Activity[Type of Activity],Types_of_Activity[Classification])=1,Term2_Day_1[[#This Row],[Elapsed]],0))</f>
        <v/>
      </c>
      <c r="G26" s="105" t="str">
        <f>IF(ISBLANK(Term2_Day_1[[#This Row],[Activity]]),"",IF(_xlfn.XLOOKUP(Term2_Day_1[[#This Row],[Activity]],Types_of_Activity[Type of Activity],Types_of_Activity[Classification])=2,Term2_Day_1[[#This Row],[Elapsed]],0))</f>
        <v/>
      </c>
      <c r="I26" s="135"/>
      <c r="J26" s="135"/>
      <c r="K26" s="102"/>
      <c r="L26" s="105" t="str">
        <f>IF(OR(ISBLANK(Term2_Day_2[[#This Row],[Start]]),ISBLANK(Term2_Day_2[[#This Row],[End]])),"",(Term2_Day_2[[#This Row],[End]]-Term2_Day_2[[#This Row],[Start]])*1440)</f>
        <v/>
      </c>
      <c r="M26" s="105" t="str">
        <f>IF(ISBLANK(Term2_Day_2[[#This Row],[Activity]]),"",IF(_xlfn.XLOOKUP(Term2_Day_2[[#This Row],[Activity]],Types_of_Activity[Type of Activity],Types_of_Activity[Classification])=1,Term2_Day_2[[#This Row],[Elapsed]],0))</f>
        <v/>
      </c>
      <c r="N26" s="105" t="str">
        <f>IF(ISBLANK(Term2_Day_2[[#This Row],[Activity]]),"",IF(_xlfn.XLOOKUP(Term2_Day_2[[#This Row],[Activity]],Types_of_Activity[Type of Activity],Types_of_Activity[Classification])=2,Term2_Day_2[[#This Row],[Elapsed]],0))</f>
        <v/>
      </c>
      <c r="P26" s="135"/>
      <c r="Q26" s="135"/>
      <c r="R26" s="102"/>
      <c r="S26" s="105" t="str">
        <f>IF(OR(ISBLANK(Term2_Day_3[[#This Row],[Start]]),ISBLANK(Term2_Day_3[[#This Row],[End]])),"",(Term2_Day_3[[#This Row],[End]]-Term2_Day_3[[#This Row],[Start]])*1440)</f>
        <v/>
      </c>
      <c r="T26" s="105" t="str">
        <f>IF(ISBLANK(Term2_Day_3[[#This Row],[Activity]]),"",IF(_xlfn.XLOOKUP(Term2_Day_3[[#This Row],[Activity]],Types_of_Activity[Type of Activity],Types_of_Activity[Classification])=1,Term2_Day_3[[#This Row],[Elapsed]],0))</f>
        <v/>
      </c>
      <c r="U26" s="105" t="str">
        <f>IF(ISBLANK(Term2_Day_3[[#This Row],[Activity]]),"",IF(_xlfn.XLOOKUP(Term2_Day_3[[#This Row],[Activity]],Types_of_Activity[Type of Activity],Types_of_Activity[Classification])=2,Term2_Day_3[[#This Row],[Elapsed]],0))</f>
        <v/>
      </c>
      <c r="W26" s="135"/>
      <c r="X26" s="135"/>
      <c r="Y26" s="102"/>
      <c r="Z26" s="105" t="str">
        <f>IF(OR(ISBLANK(Term2_Day_4[[#This Row],[Start]]),ISBLANK(Term2_Day_4[[#This Row],[End]])),"",(Term2_Day_4[[#This Row],[End]]-Term2_Day_4[[#This Row],[Start]])*1440)</f>
        <v/>
      </c>
      <c r="AA26" s="105" t="str">
        <f>IF(ISBLANK(Term2_Day_4[[#This Row],[Activity]]),"",IF(_xlfn.XLOOKUP(Term2_Day_4[[#This Row],[Activity]],Types_of_Activity[Type of Activity],Types_of_Activity[Classification])=1,Term2_Day_4[[#This Row],[Elapsed]],0))</f>
        <v/>
      </c>
      <c r="AB26" s="105" t="str">
        <f>IF(ISBLANK(Term2_Day_4[[#This Row],[Activity]]),"",IF(_xlfn.XLOOKUP(Term2_Day_4[[#This Row],[Activity]],Types_of_Activity[Type of Activity],Types_of_Activity[Classification])=2,Term2_Day_4[[#This Row],[Elapsed]],0))</f>
        <v/>
      </c>
      <c r="AD26" s="135"/>
      <c r="AE26" s="135"/>
      <c r="AF26" s="102"/>
      <c r="AG26" s="105" t="str">
        <f>IF(OR(ISBLANK(Term2_Day_5[[#This Row],[Start]]),ISBLANK(Term2_Day_5[[#This Row],[End]])),"",(Term2_Day_5[[#This Row],[End]]-Term2_Day_5[[#This Row],[Start]])*1440)</f>
        <v/>
      </c>
      <c r="AH26" s="105" t="str">
        <f>IF(ISBLANK(Term2_Day_5[[#This Row],[Activity]]),"",IF(_xlfn.XLOOKUP(Term2_Day_5[[#This Row],[Activity]],Types_of_Activity[Type of Activity],Types_of_Activity[Classification])=1,Term2_Day_5[[#This Row],[Elapsed]],0))</f>
        <v/>
      </c>
      <c r="AI26" s="105" t="str">
        <f>IF(ISBLANK(Term2_Day_5[[#This Row],[Activity]]),"",IF(_xlfn.XLOOKUP(Term2_Day_5[[#This Row],[Activity]],Types_of_Activity[Type of Activity],Types_of_Activity[Classification])=2,Term2_Day_5[[#This Row],[Elapsed]],0))</f>
        <v/>
      </c>
      <c r="AJ26" s="106"/>
      <c r="AK26" s="135"/>
      <c r="AL26" s="135"/>
      <c r="AM26" s="102"/>
      <c r="AN26" s="105" t="str">
        <f>IF(OR(ISBLANK(Term2_Day_6[[#This Row],[Start]]),ISBLANK(Term2_Day_6[[#This Row],[End]])),"",(Term2_Day_6[[#This Row],[End]]-Term2_Day_6[[#This Row],[Start]])*1440)</f>
        <v/>
      </c>
      <c r="AO26" s="105" t="str">
        <f>IF(ISBLANK(Term2_Day_6[[#This Row],[Activity]]),"",IF(_xlfn.XLOOKUP(Term2_Day_6[[#This Row],[Activity]],Types_of_Activity[Type of Activity],Types_of_Activity[Classification])=1,Term2_Day_6[[#This Row],[Elapsed]],0))</f>
        <v/>
      </c>
      <c r="AP26" s="105" t="str">
        <f>IF(ISBLANK(Term2_Day_6[[#This Row],[Activity]]),"",IF(_xlfn.XLOOKUP(Term2_Day_6[[#This Row],[Activity]],Types_of_Activity[Type of Activity],Types_of_Activity[Classification])=2,Term2_Day_6[[#This Row],[Elapsed]],0))</f>
        <v/>
      </c>
      <c r="AQ26" s="106"/>
      <c r="AR26" s="135"/>
      <c r="AS26" s="135"/>
      <c r="AT26" s="102"/>
      <c r="AU26" s="105" t="str">
        <f>IF(OR(ISBLANK(Term2_Day_7[[#This Row],[Start]]),ISBLANK(Term2_Day_7[[#This Row],[End]])),"",(Term2_Day_7[[#This Row],[End]]-Term2_Day_7[[#This Row],[Start]])*1440)</f>
        <v/>
      </c>
      <c r="AV26" s="105" t="str">
        <f>IF(ISBLANK(Term2_Day_7[[#This Row],[Activity]]),"",IF(_xlfn.XLOOKUP(Term2_Day_7[[#This Row],[Activity]],Types_of_Activity[Type of Activity],Types_of_Activity[Classification])=1,Term2_Day_7[[#This Row],[Elapsed]],0))</f>
        <v/>
      </c>
      <c r="AW26" s="105" t="str">
        <f>IF(ISBLANK(Term2_Day_7[[#This Row],[Activity]]),"",IF(_xlfn.XLOOKUP(Term2_Day_7[[#This Row],[Activity]],Types_of_Activity[Type of Activity],Types_of_Activity[Classification])=2,Term2_Day_7[[#This Row],[Elapsed]],0))</f>
        <v/>
      </c>
      <c r="AX26" s="106"/>
      <c r="AY26" s="135"/>
      <c r="AZ26" s="135"/>
      <c r="BA26" s="102"/>
      <c r="BB26" s="105" t="str">
        <f>IF(OR(ISBLANK(Term2_Day_8[[#This Row],[Start]]),ISBLANK(Term2_Day_8[[#This Row],[End]])),"",(Term2_Day_8[[#This Row],[End]]-Term2_Day_8[[#This Row],[Start]])*1440)</f>
        <v/>
      </c>
      <c r="BC26" s="105" t="str">
        <f>IF(ISBLANK(Term2_Day_8[[#This Row],[Activity]]),"",IF(_xlfn.XLOOKUP(Term2_Day_8[[#This Row],[Activity]],Types_of_Activity[Type of Activity],Types_of_Activity[Classification])=1,Term2_Day_8[[#This Row],[Elapsed]],0))</f>
        <v/>
      </c>
      <c r="BD26" s="105" t="str">
        <f>IF(ISBLANK(Term2_Day_8[[#This Row],[Activity]]),"",IF(_xlfn.XLOOKUP(Term2_Day_8[[#This Row],[Activity]],Types_of_Activity[Type of Activity],Types_of_Activity[Classification])=2,Term2_Day_8[[#This Row],[Elapsed]],0))</f>
        <v/>
      </c>
      <c r="BE26" s="106"/>
      <c r="BF26" s="135"/>
      <c r="BG26" s="135"/>
      <c r="BH26" s="102"/>
      <c r="BI26" s="105" t="str">
        <f>IF(OR(ISBLANK(Term2_Day_9[[#This Row],[Start]]),ISBLANK(Term2_Day_9[[#This Row],[End]])),"",(Term2_Day_9[[#This Row],[End]]-Term2_Day_9[[#This Row],[Start]])*1440)</f>
        <v/>
      </c>
      <c r="BJ26" s="105" t="str">
        <f>IF(ISBLANK(Term2_Day_9[[#This Row],[Activity]]),"",IF(_xlfn.XLOOKUP(Term2_Day_9[[#This Row],[Activity]],Types_of_Activity[Type of Activity],Types_of_Activity[Classification])=1,Term2_Day_9[[#This Row],[Elapsed]],0))</f>
        <v/>
      </c>
      <c r="BK26" s="105" t="str">
        <f>IF(ISBLANK(Term2_Day_9[[#This Row],[Activity]]),"",IF(_xlfn.XLOOKUP(Term2_Day_9[[#This Row],[Activity]],Types_of_Activity[Type of Activity],Types_of_Activity[Classification])=2,Term2_Day_9[[#This Row],[Elapsed]],0))</f>
        <v/>
      </c>
      <c r="BL26" s="106"/>
      <c r="BM26" s="135"/>
      <c r="BN26" s="135"/>
      <c r="BO26" s="102"/>
      <c r="BP26" s="105" t="str">
        <f>IF(OR(ISBLANK(Term2_Day_10[[#This Row],[Start]]),ISBLANK(Term2_Day_10[[#This Row],[End]])),"",(Term2_Day_10[[#This Row],[End]]-Term2_Day_10[[#This Row],[Start]])*1440)</f>
        <v/>
      </c>
      <c r="BQ26" s="105" t="str">
        <f>IF(ISBLANK(Term2_Day_10[[#This Row],[Activity]]),"",IF(_xlfn.XLOOKUP(Term2_Day_10[[#This Row],[Activity]],Types_of_Activity[Type of Activity],Types_of_Activity[Classification])=1,Term2_Day_10[[#This Row],[Elapsed]],0))</f>
        <v/>
      </c>
      <c r="BR26" s="105" t="str">
        <f>IF(ISBLANK(Term2_Day_10[[#This Row],[Activity]]),"",IF(_xlfn.XLOOKUP(Term2_Day_10[[#This Row],[Activity]],Types_of_Activity[Type of Activity],Types_of_Activity[Classification])=2,Term2_Day_10[[#This Row],[Elapsed]],0))</f>
        <v/>
      </c>
      <c r="BS26" s="106"/>
    </row>
    <row r="27" spans="2:71" x14ac:dyDescent="0.3">
      <c r="B27" s="135"/>
      <c r="C27" s="135"/>
      <c r="D27" s="102"/>
      <c r="E27" s="105" t="str">
        <f>IF(OR(ISBLANK(Term2_Day_1[[#This Row],[Start]]),ISBLANK(Term2_Day_1[[#This Row],[End]])),"",(Term2_Day_1[[#This Row],[End]]-Term2_Day_1[[#This Row],[Start]])*1440)</f>
        <v/>
      </c>
      <c r="F27" s="105" t="str">
        <f>IF(ISBLANK(Term2_Day_1[[#This Row],[Activity]]),"",IF(_xlfn.XLOOKUP(Term2_Day_1[[#This Row],[Activity]],Types_of_Activity[Type of Activity],Types_of_Activity[Classification])=1,Term2_Day_1[[#This Row],[Elapsed]],0))</f>
        <v/>
      </c>
      <c r="G27" s="105" t="str">
        <f>IF(ISBLANK(Term2_Day_1[[#This Row],[Activity]]),"",IF(_xlfn.XLOOKUP(Term2_Day_1[[#This Row],[Activity]],Types_of_Activity[Type of Activity],Types_of_Activity[Classification])=2,Term2_Day_1[[#This Row],[Elapsed]],0))</f>
        <v/>
      </c>
      <c r="I27" s="135"/>
      <c r="J27" s="135"/>
      <c r="K27" s="102"/>
      <c r="L27" s="105" t="str">
        <f>IF(OR(ISBLANK(Term2_Day_2[[#This Row],[Start]]),ISBLANK(Term2_Day_2[[#This Row],[End]])),"",(Term2_Day_2[[#This Row],[End]]-Term2_Day_2[[#This Row],[Start]])*1440)</f>
        <v/>
      </c>
      <c r="M27" s="105" t="str">
        <f>IF(ISBLANK(Term2_Day_2[[#This Row],[Activity]]),"",IF(_xlfn.XLOOKUP(Term2_Day_2[[#This Row],[Activity]],Types_of_Activity[Type of Activity],Types_of_Activity[Classification])=1,Term2_Day_2[[#This Row],[Elapsed]],0))</f>
        <v/>
      </c>
      <c r="N27" s="105" t="str">
        <f>IF(ISBLANK(Term2_Day_2[[#This Row],[Activity]]),"",IF(_xlfn.XLOOKUP(Term2_Day_2[[#This Row],[Activity]],Types_of_Activity[Type of Activity],Types_of_Activity[Classification])=2,Term2_Day_2[[#This Row],[Elapsed]],0))</f>
        <v/>
      </c>
      <c r="P27" s="135"/>
      <c r="Q27" s="135"/>
      <c r="R27" s="102"/>
      <c r="S27" s="105" t="str">
        <f>IF(OR(ISBLANK(Term2_Day_3[[#This Row],[Start]]),ISBLANK(Term2_Day_3[[#This Row],[End]])),"",(Term2_Day_3[[#This Row],[End]]-Term2_Day_3[[#This Row],[Start]])*1440)</f>
        <v/>
      </c>
      <c r="T27" s="105" t="str">
        <f>IF(ISBLANK(Term2_Day_3[[#This Row],[Activity]]),"",IF(_xlfn.XLOOKUP(Term2_Day_3[[#This Row],[Activity]],Types_of_Activity[Type of Activity],Types_of_Activity[Classification])=1,Term2_Day_3[[#This Row],[Elapsed]],0))</f>
        <v/>
      </c>
      <c r="U27" s="105" t="str">
        <f>IF(ISBLANK(Term2_Day_3[[#This Row],[Activity]]),"",IF(_xlfn.XLOOKUP(Term2_Day_3[[#This Row],[Activity]],Types_of_Activity[Type of Activity],Types_of_Activity[Classification])=2,Term2_Day_3[[#This Row],[Elapsed]],0))</f>
        <v/>
      </c>
      <c r="W27" s="135"/>
      <c r="X27" s="135"/>
      <c r="Y27" s="102"/>
      <c r="Z27" s="105" t="str">
        <f>IF(OR(ISBLANK(Term2_Day_4[[#This Row],[Start]]),ISBLANK(Term2_Day_4[[#This Row],[End]])),"",(Term2_Day_4[[#This Row],[End]]-Term2_Day_4[[#This Row],[Start]])*1440)</f>
        <v/>
      </c>
      <c r="AA27" s="105" t="str">
        <f>IF(ISBLANK(Term2_Day_4[[#This Row],[Activity]]),"",IF(_xlfn.XLOOKUP(Term2_Day_4[[#This Row],[Activity]],Types_of_Activity[Type of Activity],Types_of_Activity[Classification])=1,Term2_Day_4[[#This Row],[Elapsed]],0))</f>
        <v/>
      </c>
      <c r="AB27" s="105" t="str">
        <f>IF(ISBLANK(Term2_Day_4[[#This Row],[Activity]]),"",IF(_xlfn.XLOOKUP(Term2_Day_4[[#This Row],[Activity]],Types_of_Activity[Type of Activity],Types_of_Activity[Classification])=2,Term2_Day_4[[#This Row],[Elapsed]],0))</f>
        <v/>
      </c>
      <c r="AD27" s="135"/>
      <c r="AE27" s="135"/>
      <c r="AF27" s="102"/>
      <c r="AG27" s="105" t="str">
        <f>IF(OR(ISBLANK(Term2_Day_5[[#This Row],[Start]]),ISBLANK(Term2_Day_5[[#This Row],[End]])),"",(Term2_Day_5[[#This Row],[End]]-Term2_Day_5[[#This Row],[Start]])*1440)</f>
        <v/>
      </c>
      <c r="AH27" s="105" t="str">
        <f>IF(ISBLANK(Term2_Day_5[[#This Row],[Activity]]),"",IF(_xlfn.XLOOKUP(Term2_Day_5[[#This Row],[Activity]],Types_of_Activity[Type of Activity],Types_of_Activity[Classification])=1,Term2_Day_5[[#This Row],[Elapsed]],0))</f>
        <v/>
      </c>
      <c r="AI27" s="105" t="str">
        <f>IF(ISBLANK(Term2_Day_5[[#This Row],[Activity]]),"",IF(_xlfn.XLOOKUP(Term2_Day_5[[#This Row],[Activity]],Types_of_Activity[Type of Activity],Types_of_Activity[Classification])=2,Term2_Day_5[[#This Row],[Elapsed]],0))</f>
        <v/>
      </c>
      <c r="AJ27" s="106"/>
      <c r="AK27" s="135"/>
      <c r="AL27" s="135"/>
      <c r="AM27" s="102"/>
      <c r="AN27" s="105" t="str">
        <f>IF(OR(ISBLANK(Term2_Day_6[[#This Row],[Start]]),ISBLANK(Term2_Day_6[[#This Row],[End]])),"",(Term2_Day_6[[#This Row],[End]]-Term2_Day_6[[#This Row],[Start]])*1440)</f>
        <v/>
      </c>
      <c r="AO27" s="105" t="str">
        <f>IF(ISBLANK(Term2_Day_6[[#This Row],[Activity]]),"",IF(_xlfn.XLOOKUP(Term2_Day_6[[#This Row],[Activity]],Types_of_Activity[Type of Activity],Types_of_Activity[Classification])=1,Term2_Day_6[[#This Row],[Elapsed]],0))</f>
        <v/>
      </c>
      <c r="AP27" s="105" t="str">
        <f>IF(ISBLANK(Term2_Day_6[[#This Row],[Activity]]),"",IF(_xlfn.XLOOKUP(Term2_Day_6[[#This Row],[Activity]],Types_of_Activity[Type of Activity],Types_of_Activity[Classification])=2,Term2_Day_6[[#This Row],[Elapsed]],0))</f>
        <v/>
      </c>
      <c r="AQ27" s="106"/>
      <c r="AR27" s="135"/>
      <c r="AS27" s="135"/>
      <c r="AT27" s="102"/>
      <c r="AU27" s="105" t="str">
        <f>IF(OR(ISBLANK(Term2_Day_7[[#This Row],[Start]]),ISBLANK(Term2_Day_7[[#This Row],[End]])),"",(Term2_Day_7[[#This Row],[End]]-Term2_Day_7[[#This Row],[Start]])*1440)</f>
        <v/>
      </c>
      <c r="AV27" s="105" t="str">
        <f>IF(ISBLANK(Term2_Day_7[[#This Row],[Activity]]),"",IF(_xlfn.XLOOKUP(Term2_Day_7[[#This Row],[Activity]],Types_of_Activity[Type of Activity],Types_of_Activity[Classification])=1,Term2_Day_7[[#This Row],[Elapsed]],0))</f>
        <v/>
      </c>
      <c r="AW27" s="105" t="str">
        <f>IF(ISBLANK(Term2_Day_7[[#This Row],[Activity]]),"",IF(_xlfn.XLOOKUP(Term2_Day_7[[#This Row],[Activity]],Types_of_Activity[Type of Activity],Types_of_Activity[Classification])=2,Term2_Day_7[[#This Row],[Elapsed]],0))</f>
        <v/>
      </c>
      <c r="AX27" s="106"/>
      <c r="AY27" s="135"/>
      <c r="AZ27" s="135"/>
      <c r="BA27" s="102"/>
      <c r="BB27" s="105" t="str">
        <f>IF(OR(ISBLANK(Term2_Day_8[[#This Row],[Start]]),ISBLANK(Term2_Day_8[[#This Row],[End]])),"",(Term2_Day_8[[#This Row],[End]]-Term2_Day_8[[#This Row],[Start]])*1440)</f>
        <v/>
      </c>
      <c r="BC27" s="105" t="str">
        <f>IF(ISBLANK(Term2_Day_8[[#This Row],[Activity]]),"",IF(_xlfn.XLOOKUP(Term2_Day_8[[#This Row],[Activity]],Types_of_Activity[Type of Activity],Types_of_Activity[Classification])=1,Term2_Day_8[[#This Row],[Elapsed]],0))</f>
        <v/>
      </c>
      <c r="BD27" s="105" t="str">
        <f>IF(ISBLANK(Term2_Day_8[[#This Row],[Activity]]),"",IF(_xlfn.XLOOKUP(Term2_Day_8[[#This Row],[Activity]],Types_of_Activity[Type of Activity],Types_of_Activity[Classification])=2,Term2_Day_8[[#This Row],[Elapsed]],0))</f>
        <v/>
      </c>
      <c r="BE27" s="106"/>
      <c r="BF27" s="135"/>
      <c r="BG27" s="135"/>
      <c r="BH27" s="102"/>
      <c r="BI27" s="105" t="str">
        <f>IF(OR(ISBLANK(Term2_Day_9[[#This Row],[Start]]),ISBLANK(Term2_Day_9[[#This Row],[End]])),"",(Term2_Day_9[[#This Row],[End]]-Term2_Day_9[[#This Row],[Start]])*1440)</f>
        <v/>
      </c>
      <c r="BJ27" s="105" t="str">
        <f>IF(ISBLANK(Term2_Day_9[[#This Row],[Activity]]),"",IF(_xlfn.XLOOKUP(Term2_Day_9[[#This Row],[Activity]],Types_of_Activity[Type of Activity],Types_of_Activity[Classification])=1,Term2_Day_9[[#This Row],[Elapsed]],0))</f>
        <v/>
      </c>
      <c r="BK27" s="105" t="str">
        <f>IF(ISBLANK(Term2_Day_9[[#This Row],[Activity]]),"",IF(_xlfn.XLOOKUP(Term2_Day_9[[#This Row],[Activity]],Types_of_Activity[Type of Activity],Types_of_Activity[Classification])=2,Term2_Day_9[[#This Row],[Elapsed]],0))</f>
        <v/>
      </c>
      <c r="BL27" s="106"/>
      <c r="BM27" s="135"/>
      <c r="BN27" s="135"/>
      <c r="BO27" s="102"/>
      <c r="BP27" s="105" t="str">
        <f>IF(OR(ISBLANK(Term2_Day_10[[#This Row],[Start]]),ISBLANK(Term2_Day_10[[#This Row],[End]])),"",(Term2_Day_10[[#This Row],[End]]-Term2_Day_10[[#This Row],[Start]])*1440)</f>
        <v/>
      </c>
      <c r="BQ27" s="105" t="str">
        <f>IF(ISBLANK(Term2_Day_10[[#This Row],[Activity]]),"",IF(_xlfn.XLOOKUP(Term2_Day_10[[#This Row],[Activity]],Types_of_Activity[Type of Activity],Types_of_Activity[Classification])=1,Term2_Day_10[[#This Row],[Elapsed]],0))</f>
        <v/>
      </c>
      <c r="BR27" s="105" t="str">
        <f>IF(ISBLANK(Term2_Day_10[[#This Row],[Activity]]),"",IF(_xlfn.XLOOKUP(Term2_Day_10[[#This Row],[Activity]],Types_of_Activity[Type of Activity],Types_of_Activity[Classification])=2,Term2_Day_10[[#This Row],[Elapsed]],0))</f>
        <v/>
      </c>
      <c r="BS27" s="106"/>
    </row>
    <row r="28" spans="2:71" x14ac:dyDescent="0.3">
      <c r="B28" s="135"/>
      <c r="C28" s="135"/>
      <c r="D28" s="102"/>
      <c r="E28" s="105" t="str">
        <f>IF(OR(ISBLANK(Term2_Day_1[[#This Row],[Start]]),ISBLANK(Term2_Day_1[[#This Row],[End]])),"",(Term2_Day_1[[#This Row],[End]]-Term2_Day_1[[#This Row],[Start]])*1440)</f>
        <v/>
      </c>
      <c r="F28" s="105" t="str">
        <f>IF(ISBLANK(Term2_Day_1[[#This Row],[Activity]]),"",IF(_xlfn.XLOOKUP(Term2_Day_1[[#This Row],[Activity]],Types_of_Activity[Type of Activity],Types_of_Activity[Classification])=1,Term2_Day_1[[#This Row],[Elapsed]],0))</f>
        <v/>
      </c>
      <c r="G28" s="105" t="str">
        <f>IF(ISBLANK(Term2_Day_1[[#This Row],[Activity]]),"",IF(_xlfn.XLOOKUP(Term2_Day_1[[#This Row],[Activity]],Types_of_Activity[Type of Activity],Types_of_Activity[Classification])=2,Term2_Day_1[[#This Row],[Elapsed]],0))</f>
        <v/>
      </c>
      <c r="I28" s="135"/>
      <c r="J28" s="135"/>
      <c r="K28" s="102"/>
      <c r="L28" s="105" t="str">
        <f>IF(OR(ISBLANK(Term2_Day_2[[#This Row],[Start]]),ISBLANK(Term2_Day_2[[#This Row],[End]])),"",(Term2_Day_2[[#This Row],[End]]-Term2_Day_2[[#This Row],[Start]])*1440)</f>
        <v/>
      </c>
      <c r="M28" s="105" t="str">
        <f>IF(ISBLANK(Term2_Day_2[[#This Row],[Activity]]),"",IF(_xlfn.XLOOKUP(Term2_Day_2[[#This Row],[Activity]],Types_of_Activity[Type of Activity],Types_of_Activity[Classification])=1,Term2_Day_2[[#This Row],[Elapsed]],0))</f>
        <v/>
      </c>
      <c r="N28" s="105" t="str">
        <f>IF(ISBLANK(Term2_Day_2[[#This Row],[Activity]]),"",IF(_xlfn.XLOOKUP(Term2_Day_2[[#This Row],[Activity]],Types_of_Activity[Type of Activity],Types_of_Activity[Classification])=2,Term2_Day_2[[#This Row],[Elapsed]],0))</f>
        <v/>
      </c>
      <c r="P28" s="135"/>
      <c r="Q28" s="135"/>
      <c r="R28" s="102"/>
      <c r="S28" s="105" t="str">
        <f>IF(OR(ISBLANK(Term2_Day_3[[#This Row],[Start]]),ISBLANK(Term2_Day_3[[#This Row],[End]])),"",(Term2_Day_3[[#This Row],[End]]-Term2_Day_3[[#This Row],[Start]])*1440)</f>
        <v/>
      </c>
      <c r="T28" s="105" t="str">
        <f>IF(ISBLANK(Term2_Day_3[[#This Row],[Activity]]),"",IF(_xlfn.XLOOKUP(Term2_Day_3[[#This Row],[Activity]],Types_of_Activity[Type of Activity],Types_of_Activity[Classification])=1,Term2_Day_3[[#This Row],[Elapsed]],0))</f>
        <v/>
      </c>
      <c r="U28" s="105" t="str">
        <f>IF(ISBLANK(Term2_Day_3[[#This Row],[Activity]]),"",IF(_xlfn.XLOOKUP(Term2_Day_3[[#This Row],[Activity]],Types_of_Activity[Type of Activity],Types_of_Activity[Classification])=2,Term2_Day_3[[#This Row],[Elapsed]],0))</f>
        <v/>
      </c>
      <c r="W28" s="135"/>
      <c r="X28" s="135"/>
      <c r="Y28" s="102"/>
      <c r="Z28" s="105" t="str">
        <f>IF(OR(ISBLANK(Term2_Day_4[[#This Row],[Start]]),ISBLANK(Term2_Day_4[[#This Row],[End]])),"",(Term2_Day_4[[#This Row],[End]]-Term2_Day_4[[#This Row],[Start]])*1440)</f>
        <v/>
      </c>
      <c r="AA28" s="105" t="str">
        <f>IF(ISBLANK(Term2_Day_4[[#This Row],[Activity]]),"",IF(_xlfn.XLOOKUP(Term2_Day_4[[#This Row],[Activity]],Types_of_Activity[Type of Activity],Types_of_Activity[Classification])=1,Term2_Day_4[[#This Row],[Elapsed]],0))</f>
        <v/>
      </c>
      <c r="AB28" s="105" t="str">
        <f>IF(ISBLANK(Term2_Day_4[[#This Row],[Activity]]),"",IF(_xlfn.XLOOKUP(Term2_Day_4[[#This Row],[Activity]],Types_of_Activity[Type of Activity],Types_of_Activity[Classification])=2,Term2_Day_4[[#This Row],[Elapsed]],0))</f>
        <v/>
      </c>
      <c r="AD28" s="135"/>
      <c r="AE28" s="135"/>
      <c r="AF28" s="102"/>
      <c r="AG28" s="105" t="str">
        <f>IF(OR(ISBLANK(Term2_Day_5[[#This Row],[Start]]),ISBLANK(Term2_Day_5[[#This Row],[End]])),"",(Term2_Day_5[[#This Row],[End]]-Term2_Day_5[[#This Row],[Start]])*1440)</f>
        <v/>
      </c>
      <c r="AH28" s="105" t="str">
        <f>IF(ISBLANK(Term2_Day_5[[#This Row],[Activity]]),"",IF(_xlfn.XLOOKUP(Term2_Day_5[[#This Row],[Activity]],Types_of_Activity[Type of Activity],Types_of_Activity[Classification])=1,Term2_Day_5[[#This Row],[Elapsed]],0))</f>
        <v/>
      </c>
      <c r="AI28" s="105" t="str">
        <f>IF(ISBLANK(Term2_Day_5[[#This Row],[Activity]]),"",IF(_xlfn.XLOOKUP(Term2_Day_5[[#This Row],[Activity]],Types_of_Activity[Type of Activity],Types_of_Activity[Classification])=2,Term2_Day_5[[#This Row],[Elapsed]],0))</f>
        <v/>
      </c>
      <c r="AJ28" s="106"/>
      <c r="AK28" s="135"/>
      <c r="AL28" s="135"/>
      <c r="AM28" s="102"/>
      <c r="AN28" s="105" t="str">
        <f>IF(OR(ISBLANK(Term2_Day_6[[#This Row],[Start]]),ISBLANK(Term2_Day_6[[#This Row],[End]])),"",(Term2_Day_6[[#This Row],[End]]-Term2_Day_6[[#This Row],[Start]])*1440)</f>
        <v/>
      </c>
      <c r="AO28" s="105" t="str">
        <f>IF(ISBLANK(Term2_Day_6[[#This Row],[Activity]]),"",IF(_xlfn.XLOOKUP(Term2_Day_6[[#This Row],[Activity]],Types_of_Activity[Type of Activity],Types_of_Activity[Classification])=1,Term2_Day_6[[#This Row],[Elapsed]],0))</f>
        <v/>
      </c>
      <c r="AP28" s="105" t="str">
        <f>IF(ISBLANK(Term2_Day_6[[#This Row],[Activity]]),"",IF(_xlfn.XLOOKUP(Term2_Day_6[[#This Row],[Activity]],Types_of_Activity[Type of Activity],Types_of_Activity[Classification])=2,Term2_Day_6[[#This Row],[Elapsed]],0))</f>
        <v/>
      </c>
      <c r="AQ28" s="106"/>
      <c r="AR28" s="135"/>
      <c r="AS28" s="135"/>
      <c r="AT28" s="102"/>
      <c r="AU28" s="105" t="str">
        <f>IF(OR(ISBLANK(Term2_Day_7[[#This Row],[Start]]),ISBLANK(Term2_Day_7[[#This Row],[End]])),"",(Term2_Day_7[[#This Row],[End]]-Term2_Day_7[[#This Row],[Start]])*1440)</f>
        <v/>
      </c>
      <c r="AV28" s="105" t="str">
        <f>IF(ISBLANK(Term2_Day_7[[#This Row],[Activity]]),"",IF(_xlfn.XLOOKUP(Term2_Day_7[[#This Row],[Activity]],Types_of_Activity[Type of Activity],Types_of_Activity[Classification])=1,Term2_Day_7[[#This Row],[Elapsed]],0))</f>
        <v/>
      </c>
      <c r="AW28" s="105" t="str">
        <f>IF(ISBLANK(Term2_Day_7[[#This Row],[Activity]]),"",IF(_xlfn.XLOOKUP(Term2_Day_7[[#This Row],[Activity]],Types_of_Activity[Type of Activity],Types_of_Activity[Classification])=2,Term2_Day_7[[#This Row],[Elapsed]],0))</f>
        <v/>
      </c>
      <c r="AX28" s="106"/>
      <c r="AY28" s="135"/>
      <c r="AZ28" s="135"/>
      <c r="BA28" s="102"/>
      <c r="BB28" s="105" t="str">
        <f>IF(OR(ISBLANK(Term2_Day_8[[#This Row],[Start]]),ISBLANK(Term2_Day_8[[#This Row],[End]])),"",(Term2_Day_8[[#This Row],[End]]-Term2_Day_8[[#This Row],[Start]])*1440)</f>
        <v/>
      </c>
      <c r="BC28" s="105" t="str">
        <f>IF(ISBLANK(Term2_Day_8[[#This Row],[Activity]]),"",IF(_xlfn.XLOOKUP(Term2_Day_8[[#This Row],[Activity]],Types_of_Activity[Type of Activity],Types_of_Activity[Classification])=1,Term2_Day_8[[#This Row],[Elapsed]],0))</f>
        <v/>
      </c>
      <c r="BD28" s="105" t="str">
        <f>IF(ISBLANK(Term2_Day_8[[#This Row],[Activity]]),"",IF(_xlfn.XLOOKUP(Term2_Day_8[[#This Row],[Activity]],Types_of_Activity[Type of Activity],Types_of_Activity[Classification])=2,Term2_Day_8[[#This Row],[Elapsed]],0))</f>
        <v/>
      </c>
      <c r="BE28" s="106"/>
      <c r="BF28" s="135"/>
      <c r="BG28" s="135"/>
      <c r="BH28" s="102"/>
      <c r="BI28" s="105" t="str">
        <f>IF(OR(ISBLANK(Term2_Day_9[[#This Row],[Start]]),ISBLANK(Term2_Day_9[[#This Row],[End]])),"",(Term2_Day_9[[#This Row],[End]]-Term2_Day_9[[#This Row],[Start]])*1440)</f>
        <v/>
      </c>
      <c r="BJ28" s="105" t="str">
        <f>IF(ISBLANK(Term2_Day_9[[#This Row],[Activity]]),"",IF(_xlfn.XLOOKUP(Term2_Day_9[[#This Row],[Activity]],Types_of_Activity[Type of Activity],Types_of_Activity[Classification])=1,Term2_Day_9[[#This Row],[Elapsed]],0))</f>
        <v/>
      </c>
      <c r="BK28" s="105" t="str">
        <f>IF(ISBLANK(Term2_Day_9[[#This Row],[Activity]]),"",IF(_xlfn.XLOOKUP(Term2_Day_9[[#This Row],[Activity]],Types_of_Activity[Type of Activity],Types_of_Activity[Classification])=2,Term2_Day_9[[#This Row],[Elapsed]],0))</f>
        <v/>
      </c>
      <c r="BL28" s="106"/>
      <c r="BM28" s="135"/>
      <c r="BN28" s="135"/>
      <c r="BO28" s="102"/>
      <c r="BP28" s="105" t="str">
        <f>IF(OR(ISBLANK(Term2_Day_10[[#This Row],[Start]]),ISBLANK(Term2_Day_10[[#This Row],[End]])),"",(Term2_Day_10[[#This Row],[End]]-Term2_Day_10[[#This Row],[Start]])*1440)</f>
        <v/>
      </c>
      <c r="BQ28" s="105" t="str">
        <f>IF(ISBLANK(Term2_Day_10[[#This Row],[Activity]]),"",IF(_xlfn.XLOOKUP(Term2_Day_10[[#This Row],[Activity]],Types_of_Activity[Type of Activity],Types_of_Activity[Classification])=1,Term2_Day_10[[#This Row],[Elapsed]],0))</f>
        <v/>
      </c>
      <c r="BR28" s="105" t="str">
        <f>IF(ISBLANK(Term2_Day_10[[#This Row],[Activity]]),"",IF(_xlfn.XLOOKUP(Term2_Day_10[[#This Row],[Activity]],Types_of_Activity[Type of Activity],Types_of_Activity[Classification])=2,Term2_Day_10[[#This Row],[Elapsed]],0))</f>
        <v/>
      </c>
      <c r="BS28" s="106"/>
    </row>
    <row r="29" spans="2:71" x14ac:dyDescent="0.3">
      <c r="B29" s="135"/>
      <c r="C29" s="135"/>
      <c r="D29" s="102"/>
      <c r="E29" s="105" t="str">
        <f>IF(OR(ISBLANK(Term2_Day_1[[#This Row],[Start]]),ISBLANK(Term2_Day_1[[#This Row],[End]])),"",(Term2_Day_1[[#This Row],[End]]-Term2_Day_1[[#This Row],[Start]])*1440)</f>
        <v/>
      </c>
      <c r="F29" s="105" t="str">
        <f>IF(ISBLANK(Term2_Day_1[[#This Row],[Activity]]),"",IF(_xlfn.XLOOKUP(Term2_Day_1[[#This Row],[Activity]],Types_of_Activity[Type of Activity],Types_of_Activity[Classification])=1,Term2_Day_1[[#This Row],[Elapsed]],0))</f>
        <v/>
      </c>
      <c r="G29" s="105" t="str">
        <f>IF(ISBLANK(Term2_Day_1[[#This Row],[Activity]]),"",IF(_xlfn.XLOOKUP(Term2_Day_1[[#This Row],[Activity]],Types_of_Activity[Type of Activity],Types_of_Activity[Classification])=2,Term2_Day_1[[#This Row],[Elapsed]],0))</f>
        <v/>
      </c>
      <c r="I29" s="135"/>
      <c r="J29" s="135"/>
      <c r="K29" s="102"/>
      <c r="L29" s="105" t="str">
        <f>IF(OR(ISBLANK(Term2_Day_2[[#This Row],[Start]]),ISBLANK(Term2_Day_2[[#This Row],[End]])),"",(Term2_Day_2[[#This Row],[End]]-Term2_Day_2[[#This Row],[Start]])*1440)</f>
        <v/>
      </c>
      <c r="M29" s="105" t="str">
        <f>IF(ISBLANK(Term2_Day_2[[#This Row],[Activity]]),"",IF(_xlfn.XLOOKUP(Term2_Day_2[[#This Row],[Activity]],Types_of_Activity[Type of Activity],Types_of_Activity[Classification])=1,Term2_Day_2[[#This Row],[Elapsed]],0))</f>
        <v/>
      </c>
      <c r="N29" s="105" t="str">
        <f>IF(ISBLANK(Term2_Day_2[[#This Row],[Activity]]),"",IF(_xlfn.XLOOKUP(Term2_Day_2[[#This Row],[Activity]],Types_of_Activity[Type of Activity],Types_of_Activity[Classification])=2,Term2_Day_2[[#This Row],[Elapsed]],0))</f>
        <v/>
      </c>
      <c r="P29" s="135"/>
      <c r="Q29" s="135"/>
      <c r="R29" s="102"/>
      <c r="S29" s="105" t="str">
        <f>IF(OR(ISBLANK(Term2_Day_3[[#This Row],[Start]]),ISBLANK(Term2_Day_3[[#This Row],[End]])),"",(Term2_Day_3[[#This Row],[End]]-Term2_Day_3[[#This Row],[Start]])*1440)</f>
        <v/>
      </c>
      <c r="T29" s="105" t="str">
        <f>IF(ISBLANK(Term2_Day_3[[#This Row],[Activity]]),"",IF(_xlfn.XLOOKUP(Term2_Day_3[[#This Row],[Activity]],Types_of_Activity[Type of Activity],Types_of_Activity[Classification])=1,Term2_Day_3[[#This Row],[Elapsed]],0))</f>
        <v/>
      </c>
      <c r="U29" s="105" t="str">
        <f>IF(ISBLANK(Term2_Day_3[[#This Row],[Activity]]),"",IF(_xlfn.XLOOKUP(Term2_Day_3[[#This Row],[Activity]],Types_of_Activity[Type of Activity],Types_of_Activity[Classification])=2,Term2_Day_3[[#This Row],[Elapsed]],0))</f>
        <v/>
      </c>
      <c r="W29" s="135"/>
      <c r="X29" s="135"/>
      <c r="Y29" s="102"/>
      <c r="Z29" s="105" t="str">
        <f>IF(OR(ISBLANK(Term2_Day_4[[#This Row],[Start]]),ISBLANK(Term2_Day_4[[#This Row],[End]])),"",(Term2_Day_4[[#This Row],[End]]-Term2_Day_4[[#This Row],[Start]])*1440)</f>
        <v/>
      </c>
      <c r="AA29" s="105" t="str">
        <f>IF(ISBLANK(Term2_Day_4[[#This Row],[Activity]]),"",IF(_xlfn.XLOOKUP(Term2_Day_4[[#This Row],[Activity]],Types_of_Activity[Type of Activity],Types_of_Activity[Classification])=1,Term2_Day_4[[#This Row],[Elapsed]],0))</f>
        <v/>
      </c>
      <c r="AB29" s="105" t="str">
        <f>IF(ISBLANK(Term2_Day_4[[#This Row],[Activity]]),"",IF(_xlfn.XLOOKUP(Term2_Day_4[[#This Row],[Activity]],Types_of_Activity[Type of Activity],Types_of_Activity[Classification])=2,Term2_Day_4[[#This Row],[Elapsed]],0))</f>
        <v/>
      </c>
      <c r="AD29" s="135"/>
      <c r="AE29" s="135"/>
      <c r="AF29" s="102"/>
      <c r="AG29" s="105" t="str">
        <f>IF(OR(ISBLANK(Term2_Day_5[[#This Row],[Start]]),ISBLANK(Term2_Day_5[[#This Row],[End]])),"",(Term2_Day_5[[#This Row],[End]]-Term2_Day_5[[#This Row],[Start]])*1440)</f>
        <v/>
      </c>
      <c r="AH29" s="105" t="str">
        <f>IF(ISBLANK(Term2_Day_5[[#This Row],[Activity]]),"",IF(_xlfn.XLOOKUP(Term2_Day_5[[#This Row],[Activity]],Types_of_Activity[Type of Activity],Types_of_Activity[Classification])=1,Term2_Day_5[[#This Row],[Elapsed]],0))</f>
        <v/>
      </c>
      <c r="AI29" s="105" t="str">
        <f>IF(ISBLANK(Term2_Day_5[[#This Row],[Activity]]),"",IF(_xlfn.XLOOKUP(Term2_Day_5[[#This Row],[Activity]],Types_of_Activity[Type of Activity],Types_of_Activity[Classification])=2,Term2_Day_5[[#This Row],[Elapsed]],0))</f>
        <v/>
      </c>
      <c r="AJ29" s="106"/>
      <c r="AK29" s="135"/>
      <c r="AL29" s="135"/>
      <c r="AM29" s="102"/>
      <c r="AN29" s="105" t="str">
        <f>IF(OR(ISBLANK(Term2_Day_6[[#This Row],[Start]]),ISBLANK(Term2_Day_6[[#This Row],[End]])),"",(Term2_Day_6[[#This Row],[End]]-Term2_Day_6[[#This Row],[Start]])*1440)</f>
        <v/>
      </c>
      <c r="AO29" s="105" t="str">
        <f>IF(ISBLANK(Term2_Day_6[[#This Row],[Activity]]),"",IF(_xlfn.XLOOKUP(Term2_Day_6[[#This Row],[Activity]],Types_of_Activity[Type of Activity],Types_of_Activity[Classification])=1,Term2_Day_6[[#This Row],[Elapsed]],0))</f>
        <v/>
      </c>
      <c r="AP29" s="105" t="str">
        <f>IF(ISBLANK(Term2_Day_6[[#This Row],[Activity]]),"",IF(_xlfn.XLOOKUP(Term2_Day_6[[#This Row],[Activity]],Types_of_Activity[Type of Activity],Types_of_Activity[Classification])=2,Term2_Day_6[[#This Row],[Elapsed]],0))</f>
        <v/>
      </c>
      <c r="AQ29" s="106"/>
      <c r="AR29" s="135"/>
      <c r="AS29" s="135"/>
      <c r="AT29" s="102"/>
      <c r="AU29" s="105" t="str">
        <f>IF(OR(ISBLANK(Term2_Day_7[[#This Row],[Start]]),ISBLANK(Term2_Day_7[[#This Row],[End]])),"",(Term2_Day_7[[#This Row],[End]]-Term2_Day_7[[#This Row],[Start]])*1440)</f>
        <v/>
      </c>
      <c r="AV29" s="105" t="str">
        <f>IF(ISBLANK(Term2_Day_7[[#This Row],[Activity]]),"",IF(_xlfn.XLOOKUP(Term2_Day_7[[#This Row],[Activity]],Types_of_Activity[Type of Activity],Types_of_Activity[Classification])=1,Term2_Day_7[[#This Row],[Elapsed]],0))</f>
        <v/>
      </c>
      <c r="AW29" s="105" t="str">
        <f>IF(ISBLANK(Term2_Day_7[[#This Row],[Activity]]),"",IF(_xlfn.XLOOKUP(Term2_Day_7[[#This Row],[Activity]],Types_of_Activity[Type of Activity],Types_of_Activity[Classification])=2,Term2_Day_7[[#This Row],[Elapsed]],0))</f>
        <v/>
      </c>
      <c r="AX29" s="106"/>
      <c r="AY29" s="135"/>
      <c r="AZ29" s="135"/>
      <c r="BA29" s="102"/>
      <c r="BB29" s="105" t="str">
        <f>IF(OR(ISBLANK(Term2_Day_8[[#This Row],[Start]]),ISBLANK(Term2_Day_8[[#This Row],[End]])),"",(Term2_Day_8[[#This Row],[End]]-Term2_Day_8[[#This Row],[Start]])*1440)</f>
        <v/>
      </c>
      <c r="BC29" s="105" t="str">
        <f>IF(ISBLANK(Term2_Day_8[[#This Row],[Activity]]),"",IF(_xlfn.XLOOKUP(Term2_Day_8[[#This Row],[Activity]],Types_of_Activity[Type of Activity],Types_of_Activity[Classification])=1,Term2_Day_8[[#This Row],[Elapsed]],0))</f>
        <v/>
      </c>
      <c r="BD29" s="105" t="str">
        <f>IF(ISBLANK(Term2_Day_8[[#This Row],[Activity]]),"",IF(_xlfn.XLOOKUP(Term2_Day_8[[#This Row],[Activity]],Types_of_Activity[Type of Activity],Types_of_Activity[Classification])=2,Term2_Day_8[[#This Row],[Elapsed]],0))</f>
        <v/>
      </c>
      <c r="BE29" s="106"/>
      <c r="BF29" s="135"/>
      <c r="BG29" s="135"/>
      <c r="BH29" s="102"/>
      <c r="BI29" s="105" t="str">
        <f>IF(OR(ISBLANK(Term2_Day_9[[#This Row],[Start]]),ISBLANK(Term2_Day_9[[#This Row],[End]])),"",(Term2_Day_9[[#This Row],[End]]-Term2_Day_9[[#This Row],[Start]])*1440)</f>
        <v/>
      </c>
      <c r="BJ29" s="105" t="str">
        <f>IF(ISBLANK(Term2_Day_9[[#This Row],[Activity]]),"",IF(_xlfn.XLOOKUP(Term2_Day_9[[#This Row],[Activity]],Types_of_Activity[Type of Activity],Types_of_Activity[Classification])=1,Term2_Day_9[[#This Row],[Elapsed]],0))</f>
        <v/>
      </c>
      <c r="BK29" s="105" t="str">
        <f>IF(ISBLANK(Term2_Day_9[[#This Row],[Activity]]),"",IF(_xlfn.XLOOKUP(Term2_Day_9[[#This Row],[Activity]],Types_of_Activity[Type of Activity],Types_of_Activity[Classification])=2,Term2_Day_9[[#This Row],[Elapsed]],0))</f>
        <v/>
      </c>
      <c r="BL29" s="106"/>
      <c r="BM29" s="135"/>
      <c r="BN29" s="135"/>
      <c r="BO29" s="102"/>
      <c r="BP29" s="105" t="str">
        <f>IF(OR(ISBLANK(Term2_Day_10[[#This Row],[Start]]),ISBLANK(Term2_Day_10[[#This Row],[End]])),"",(Term2_Day_10[[#This Row],[End]]-Term2_Day_10[[#This Row],[Start]])*1440)</f>
        <v/>
      </c>
      <c r="BQ29" s="105" t="str">
        <f>IF(ISBLANK(Term2_Day_10[[#This Row],[Activity]]),"",IF(_xlfn.XLOOKUP(Term2_Day_10[[#This Row],[Activity]],Types_of_Activity[Type of Activity],Types_of_Activity[Classification])=1,Term2_Day_10[[#This Row],[Elapsed]],0))</f>
        <v/>
      </c>
      <c r="BR29" s="105" t="str">
        <f>IF(ISBLANK(Term2_Day_10[[#This Row],[Activity]]),"",IF(_xlfn.XLOOKUP(Term2_Day_10[[#This Row],[Activity]],Types_of_Activity[Type of Activity],Types_of_Activity[Classification])=2,Term2_Day_10[[#This Row],[Elapsed]],0))</f>
        <v/>
      </c>
      <c r="BS29" s="106"/>
    </row>
    <row r="30" spans="2:71" x14ac:dyDescent="0.3">
      <c r="B30" s="135"/>
      <c r="C30" s="135"/>
      <c r="D30" s="102"/>
      <c r="E30" s="105" t="str">
        <f>IF(OR(ISBLANK(Term2_Day_1[[#This Row],[Start]]),ISBLANK(Term2_Day_1[[#This Row],[End]])),"",(Term2_Day_1[[#This Row],[End]]-Term2_Day_1[[#This Row],[Start]])*1440)</f>
        <v/>
      </c>
      <c r="F30" s="105" t="str">
        <f>IF(ISBLANK(Term2_Day_1[[#This Row],[Activity]]),"",IF(_xlfn.XLOOKUP(Term2_Day_1[[#This Row],[Activity]],Types_of_Activity[Type of Activity],Types_of_Activity[Classification])=1,Term2_Day_1[[#This Row],[Elapsed]],0))</f>
        <v/>
      </c>
      <c r="G30" s="105" t="str">
        <f>IF(ISBLANK(Term2_Day_1[[#This Row],[Activity]]),"",IF(_xlfn.XLOOKUP(Term2_Day_1[[#This Row],[Activity]],Types_of_Activity[Type of Activity],Types_of_Activity[Classification])=2,Term2_Day_1[[#This Row],[Elapsed]],0))</f>
        <v/>
      </c>
      <c r="I30" s="135"/>
      <c r="J30" s="135"/>
      <c r="K30" s="102"/>
      <c r="L30" s="105" t="str">
        <f>IF(OR(ISBLANK(Term2_Day_2[[#This Row],[Start]]),ISBLANK(Term2_Day_2[[#This Row],[End]])),"",(Term2_Day_2[[#This Row],[End]]-Term2_Day_2[[#This Row],[Start]])*1440)</f>
        <v/>
      </c>
      <c r="M30" s="105" t="str">
        <f>IF(ISBLANK(Term2_Day_2[[#This Row],[Activity]]),"",IF(_xlfn.XLOOKUP(Term2_Day_2[[#This Row],[Activity]],Types_of_Activity[Type of Activity],Types_of_Activity[Classification])=1,Term2_Day_2[[#This Row],[Elapsed]],0))</f>
        <v/>
      </c>
      <c r="N30" s="105" t="str">
        <f>IF(ISBLANK(Term2_Day_2[[#This Row],[Activity]]),"",IF(_xlfn.XLOOKUP(Term2_Day_2[[#This Row],[Activity]],Types_of_Activity[Type of Activity],Types_of_Activity[Classification])=2,Term2_Day_2[[#This Row],[Elapsed]],0))</f>
        <v/>
      </c>
      <c r="P30" s="135"/>
      <c r="Q30" s="135"/>
      <c r="R30" s="102"/>
      <c r="S30" s="105" t="str">
        <f>IF(OR(ISBLANK(Term2_Day_3[[#This Row],[Start]]),ISBLANK(Term2_Day_3[[#This Row],[End]])),"",(Term2_Day_3[[#This Row],[End]]-Term2_Day_3[[#This Row],[Start]])*1440)</f>
        <v/>
      </c>
      <c r="T30" s="105" t="str">
        <f>IF(ISBLANK(Term2_Day_3[[#This Row],[Activity]]),"",IF(_xlfn.XLOOKUP(Term2_Day_3[[#This Row],[Activity]],Types_of_Activity[Type of Activity],Types_of_Activity[Classification])=1,Term2_Day_3[[#This Row],[Elapsed]],0))</f>
        <v/>
      </c>
      <c r="U30" s="105" t="str">
        <f>IF(ISBLANK(Term2_Day_3[[#This Row],[Activity]]),"",IF(_xlfn.XLOOKUP(Term2_Day_3[[#This Row],[Activity]],Types_of_Activity[Type of Activity],Types_of_Activity[Classification])=2,Term2_Day_3[[#This Row],[Elapsed]],0))</f>
        <v/>
      </c>
      <c r="W30" s="135"/>
      <c r="X30" s="135"/>
      <c r="Y30" s="102"/>
      <c r="Z30" s="105" t="str">
        <f>IF(OR(ISBLANK(Term2_Day_4[[#This Row],[Start]]),ISBLANK(Term2_Day_4[[#This Row],[End]])),"",(Term2_Day_4[[#This Row],[End]]-Term2_Day_4[[#This Row],[Start]])*1440)</f>
        <v/>
      </c>
      <c r="AA30" s="105" t="str">
        <f>IF(ISBLANK(Term2_Day_4[[#This Row],[Activity]]),"",IF(_xlfn.XLOOKUP(Term2_Day_4[[#This Row],[Activity]],Types_of_Activity[Type of Activity],Types_of_Activity[Classification])=1,Term2_Day_4[[#This Row],[Elapsed]],0))</f>
        <v/>
      </c>
      <c r="AB30" s="105" t="str">
        <f>IF(ISBLANK(Term2_Day_4[[#This Row],[Activity]]),"",IF(_xlfn.XLOOKUP(Term2_Day_4[[#This Row],[Activity]],Types_of_Activity[Type of Activity],Types_of_Activity[Classification])=2,Term2_Day_4[[#This Row],[Elapsed]],0))</f>
        <v/>
      </c>
      <c r="AD30" s="135"/>
      <c r="AE30" s="135"/>
      <c r="AF30" s="102"/>
      <c r="AG30" s="105" t="str">
        <f>IF(OR(ISBLANK(Term2_Day_5[[#This Row],[Start]]),ISBLANK(Term2_Day_5[[#This Row],[End]])),"",(Term2_Day_5[[#This Row],[End]]-Term2_Day_5[[#This Row],[Start]])*1440)</f>
        <v/>
      </c>
      <c r="AH30" s="105" t="str">
        <f>IF(ISBLANK(Term2_Day_5[[#This Row],[Activity]]),"",IF(_xlfn.XLOOKUP(Term2_Day_5[[#This Row],[Activity]],Types_of_Activity[Type of Activity],Types_of_Activity[Classification])=1,Term2_Day_5[[#This Row],[Elapsed]],0))</f>
        <v/>
      </c>
      <c r="AI30" s="105" t="str">
        <f>IF(ISBLANK(Term2_Day_5[[#This Row],[Activity]]),"",IF(_xlfn.XLOOKUP(Term2_Day_5[[#This Row],[Activity]],Types_of_Activity[Type of Activity],Types_of_Activity[Classification])=2,Term2_Day_5[[#This Row],[Elapsed]],0))</f>
        <v/>
      </c>
      <c r="AJ30" s="106"/>
      <c r="AK30" s="135"/>
      <c r="AL30" s="135"/>
      <c r="AM30" s="102"/>
      <c r="AN30" s="105" t="str">
        <f>IF(OR(ISBLANK(Term2_Day_6[[#This Row],[Start]]),ISBLANK(Term2_Day_6[[#This Row],[End]])),"",(Term2_Day_6[[#This Row],[End]]-Term2_Day_6[[#This Row],[Start]])*1440)</f>
        <v/>
      </c>
      <c r="AO30" s="105" t="str">
        <f>IF(ISBLANK(Term2_Day_6[[#This Row],[Activity]]),"",IF(_xlfn.XLOOKUP(Term2_Day_6[[#This Row],[Activity]],Types_of_Activity[Type of Activity],Types_of_Activity[Classification])=1,Term2_Day_6[[#This Row],[Elapsed]],0))</f>
        <v/>
      </c>
      <c r="AP30" s="105" t="str">
        <f>IF(ISBLANK(Term2_Day_6[[#This Row],[Activity]]),"",IF(_xlfn.XLOOKUP(Term2_Day_6[[#This Row],[Activity]],Types_of_Activity[Type of Activity],Types_of_Activity[Classification])=2,Term2_Day_6[[#This Row],[Elapsed]],0))</f>
        <v/>
      </c>
      <c r="AQ30" s="106"/>
      <c r="AR30" s="135"/>
      <c r="AS30" s="135"/>
      <c r="AT30" s="102"/>
      <c r="AU30" s="105" t="str">
        <f>IF(OR(ISBLANK(Term2_Day_7[[#This Row],[Start]]),ISBLANK(Term2_Day_7[[#This Row],[End]])),"",(Term2_Day_7[[#This Row],[End]]-Term2_Day_7[[#This Row],[Start]])*1440)</f>
        <v/>
      </c>
      <c r="AV30" s="105" t="str">
        <f>IF(ISBLANK(Term2_Day_7[[#This Row],[Activity]]),"",IF(_xlfn.XLOOKUP(Term2_Day_7[[#This Row],[Activity]],Types_of_Activity[Type of Activity],Types_of_Activity[Classification])=1,Term2_Day_7[[#This Row],[Elapsed]],0))</f>
        <v/>
      </c>
      <c r="AW30" s="105" t="str">
        <f>IF(ISBLANK(Term2_Day_7[[#This Row],[Activity]]),"",IF(_xlfn.XLOOKUP(Term2_Day_7[[#This Row],[Activity]],Types_of_Activity[Type of Activity],Types_of_Activity[Classification])=2,Term2_Day_7[[#This Row],[Elapsed]],0))</f>
        <v/>
      </c>
      <c r="AX30" s="106"/>
      <c r="AY30" s="135"/>
      <c r="AZ30" s="135"/>
      <c r="BA30" s="102"/>
      <c r="BB30" s="105" t="str">
        <f>IF(OR(ISBLANK(Term2_Day_8[[#This Row],[Start]]),ISBLANK(Term2_Day_8[[#This Row],[End]])),"",(Term2_Day_8[[#This Row],[End]]-Term2_Day_8[[#This Row],[Start]])*1440)</f>
        <v/>
      </c>
      <c r="BC30" s="105" t="str">
        <f>IF(ISBLANK(Term2_Day_8[[#This Row],[Activity]]),"",IF(_xlfn.XLOOKUP(Term2_Day_8[[#This Row],[Activity]],Types_of_Activity[Type of Activity],Types_of_Activity[Classification])=1,Term2_Day_8[[#This Row],[Elapsed]],0))</f>
        <v/>
      </c>
      <c r="BD30" s="105" t="str">
        <f>IF(ISBLANK(Term2_Day_8[[#This Row],[Activity]]),"",IF(_xlfn.XLOOKUP(Term2_Day_8[[#This Row],[Activity]],Types_of_Activity[Type of Activity],Types_of_Activity[Classification])=2,Term2_Day_8[[#This Row],[Elapsed]],0))</f>
        <v/>
      </c>
      <c r="BE30" s="106"/>
      <c r="BF30" s="135"/>
      <c r="BG30" s="135"/>
      <c r="BH30" s="102"/>
      <c r="BI30" s="105" t="str">
        <f>IF(OR(ISBLANK(Term2_Day_9[[#This Row],[Start]]),ISBLANK(Term2_Day_9[[#This Row],[End]])),"",(Term2_Day_9[[#This Row],[End]]-Term2_Day_9[[#This Row],[Start]])*1440)</f>
        <v/>
      </c>
      <c r="BJ30" s="105" t="str">
        <f>IF(ISBLANK(Term2_Day_9[[#This Row],[Activity]]),"",IF(_xlfn.XLOOKUP(Term2_Day_9[[#This Row],[Activity]],Types_of_Activity[Type of Activity],Types_of_Activity[Classification])=1,Term2_Day_9[[#This Row],[Elapsed]],0))</f>
        <v/>
      </c>
      <c r="BK30" s="105" t="str">
        <f>IF(ISBLANK(Term2_Day_9[[#This Row],[Activity]]),"",IF(_xlfn.XLOOKUP(Term2_Day_9[[#This Row],[Activity]],Types_of_Activity[Type of Activity],Types_of_Activity[Classification])=2,Term2_Day_9[[#This Row],[Elapsed]],0))</f>
        <v/>
      </c>
      <c r="BL30" s="106"/>
      <c r="BM30" s="135"/>
      <c r="BN30" s="135"/>
      <c r="BO30" s="102"/>
      <c r="BP30" s="105" t="str">
        <f>IF(OR(ISBLANK(Term2_Day_10[[#This Row],[Start]]),ISBLANK(Term2_Day_10[[#This Row],[End]])),"",(Term2_Day_10[[#This Row],[End]]-Term2_Day_10[[#This Row],[Start]])*1440)</f>
        <v/>
      </c>
      <c r="BQ30" s="105" t="str">
        <f>IF(ISBLANK(Term2_Day_10[[#This Row],[Activity]]),"",IF(_xlfn.XLOOKUP(Term2_Day_10[[#This Row],[Activity]],Types_of_Activity[Type of Activity],Types_of_Activity[Classification])=1,Term2_Day_10[[#This Row],[Elapsed]],0))</f>
        <v/>
      </c>
      <c r="BR30" s="105" t="str">
        <f>IF(ISBLANK(Term2_Day_10[[#This Row],[Activity]]),"",IF(_xlfn.XLOOKUP(Term2_Day_10[[#This Row],[Activity]],Types_of_Activity[Type of Activity],Types_of_Activity[Classification])=2,Term2_Day_10[[#This Row],[Elapsed]],0))</f>
        <v/>
      </c>
      <c r="BS30" s="106"/>
    </row>
    <row r="31" spans="2:71" x14ac:dyDescent="0.3">
      <c r="B31" s="135"/>
      <c r="C31" s="135"/>
      <c r="D31" s="102"/>
      <c r="E31" s="105" t="str">
        <f>IF(OR(ISBLANK(Term2_Day_1[[#This Row],[Start]]),ISBLANK(Term2_Day_1[[#This Row],[End]])),"",(Term2_Day_1[[#This Row],[End]]-Term2_Day_1[[#This Row],[Start]])*1440)</f>
        <v/>
      </c>
      <c r="F31" s="105" t="str">
        <f>IF(ISBLANK(Term2_Day_1[[#This Row],[Activity]]),"",IF(_xlfn.XLOOKUP(Term2_Day_1[[#This Row],[Activity]],Types_of_Activity[Type of Activity],Types_of_Activity[Classification])=1,Term2_Day_1[[#This Row],[Elapsed]],0))</f>
        <v/>
      </c>
      <c r="G31" s="105" t="str">
        <f>IF(ISBLANK(Term2_Day_1[[#This Row],[Activity]]),"",IF(_xlfn.XLOOKUP(Term2_Day_1[[#This Row],[Activity]],Types_of_Activity[Type of Activity],Types_of_Activity[Classification])=2,Term2_Day_1[[#This Row],[Elapsed]],0))</f>
        <v/>
      </c>
      <c r="I31" s="135"/>
      <c r="J31" s="135"/>
      <c r="K31" s="102"/>
      <c r="L31" s="105" t="str">
        <f>IF(OR(ISBLANK(Term2_Day_2[[#This Row],[Start]]),ISBLANK(Term2_Day_2[[#This Row],[End]])),"",(Term2_Day_2[[#This Row],[End]]-Term2_Day_2[[#This Row],[Start]])*1440)</f>
        <v/>
      </c>
      <c r="M31" s="105" t="str">
        <f>IF(ISBLANK(Term2_Day_2[[#This Row],[Activity]]),"",IF(_xlfn.XLOOKUP(Term2_Day_2[[#This Row],[Activity]],Types_of_Activity[Type of Activity],Types_of_Activity[Classification])=1,Term2_Day_2[[#This Row],[Elapsed]],0))</f>
        <v/>
      </c>
      <c r="N31" s="105" t="str">
        <f>IF(ISBLANK(Term2_Day_2[[#This Row],[Activity]]),"",IF(_xlfn.XLOOKUP(Term2_Day_2[[#This Row],[Activity]],Types_of_Activity[Type of Activity],Types_of_Activity[Classification])=2,Term2_Day_2[[#This Row],[Elapsed]],0))</f>
        <v/>
      </c>
      <c r="P31" s="135"/>
      <c r="Q31" s="135"/>
      <c r="R31" s="102"/>
      <c r="S31" s="105" t="str">
        <f>IF(OR(ISBLANK(Term2_Day_3[[#This Row],[Start]]),ISBLANK(Term2_Day_3[[#This Row],[End]])),"",(Term2_Day_3[[#This Row],[End]]-Term2_Day_3[[#This Row],[Start]])*1440)</f>
        <v/>
      </c>
      <c r="T31" s="105" t="str">
        <f>IF(ISBLANK(Term2_Day_3[[#This Row],[Activity]]),"",IF(_xlfn.XLOOKUP(Term2_Day_3[[#This Row],[Activity]],Types_of_Activity[Type of Activity],Types_of_Activity[Classification])=1,Term2_Day_3[[#This Row],[Elapsed]],0))</f>
        <v/>
      </c>
      <c r="U31" s="105" t="str">
        <f>IF(ISBLANK(Term2_Day_3[[#This Row],[Activity]]),"",IF(_xlfn.XLOOKUP(Term2_Day_3[[#This Row],[Activity]],Types_of_Activity[Type of Activity],Types_of_Activity[Classification])=2,Term2_Day_3[[#This Row],[Elapsed]],0))</f>
        <v/>
      </c>
      <c r="W31" s="135"/>
      <c r="X31" s="135"/>
      <c r="Y31" s="102"/>
      <c r="Z31" s="105" t="str">
        <f>IF(OR(ISBLANK(Term2_Day_4[[#This Row],[Start]]),ISBLANK(Term2_Day_4[[#This Row],[End]])),"",(Term2_Day_4[[#This Row],[End]]-Term2_Day_4[[#This Row],[Start]])*1440)</f>
        <v/>
      </c>
      <c r="AA31" s="105" t="str">
        <f>IF(ISBLANK(Term2_Day_4[[#This Row],[Activity]]),"",IF(_xlfn.XLOOKUP(Term2_Day_4[[#This Row],[Activity]],Types_of_Activity[Type of Activity],Types_of_Activity[Classification])=1,Term2_Day_4[[#This Row],[Elapsed]],0))</f>
        <v/>
      </c>
      <c r="AB31" s="105" t="str">
        <f>IF(ISBLANK(Term2_Day_4[[#This Row],[Activity]]),"",IF(_xlfn.XLOOKUP(Term2_Day_4[[#This Row],[Activity]],Types_of_Activity[Type of Activity],Types_of_Activity[Classification])=2,Term2_Day_4[[#This Row],[Elapsed]],0))</f>
        <v/>
      </c>
      <c r="AD31" s="135"/>
      <c r="AE31" s="135"/>
      <c r="AF31" s="102"/>
      <c r="AG31" s="105" t="str">
        <f>IF(OR(ISBLANK(Term2_Day_5[[#This Row],[Start]]),ISBLANK(Term2_Day_5[[#This Row],[End]])),"",(Term2_Day_5[[#This Row],[End]]-Term2_Day_5[[#This Row],[Start]])*1440)</f>
        <v/>
      </c>
      <c r="AH31" s="105" t="str">
        <f>IF(ISBLANK(Term2_Day_5[[#This Row],[Activity]]),"",IF(_xlfn.XLOOKUP(Term2_Day_5[[#This Row],[Activity]],Types_of_Activity[Type of Activity],Types_of_Activity[Classification])=1,Term2_Day_5[[#This Row],[Elapsed]],0))</f>
        <v/>
      </c>
      <c r="AI31" s="105" t="str">
        <f>IF(ISBLANK(Term2_Day_5[[#This Row],[Activity]]),"",IF(_xlfn.XLOOKUP(Term2_Day_5[[#This Row],[Activity]],Types_of_Activity[Type of Activity],Types_of_Activity[Classification])=2,Term2_Day_5[[#This Row],[Elapsed]],0))</f>
        <v/>
      </c>
      <c r="AJ31" s="106"/>
      <c r="AK31" s="135"/>
      <c r="AL31" s="135"/>
      <c r="AM31" s="102"/>
      <c r="AN31" s="105" t="str">
        <f>IF(OR(ISBLANK(Term2_Day_6[[#This Row],[Start]]),ISBLANK(Term2_Day_6[[#This Row],[End]])),"",(Term2_Day_6[[#This Row],[End]]-Term2_Day_6[[#This Row],[Start]])*1440)</f>
        <v/>
      </c>
      <c r="AO31" s="105" t="str">
        <f>IF(ISBLANK(Term2_Day_6[[#This Row],[Activity]]),"",IF(_xlfn.XLOOKUP(Term2_Day_6[[#This Row],[Activity]],Types_of_Activity[Type of Activity],Types_of_Activity[Classification])=1,Term2_Day_6[[#This Row],[Elapsed]],0))</f>
        <v/>
      </c>
      <c r="AP31" s="105" t="str">
        <f>IF(ISBLANK(Term2_Day_6[[#This Row],[Activity]]),"",IF(_xlfn.XLOOKUP(Term2_Day_6[[#This Row],[Activity]],Types_of_Activity[Type of Activity],Types_of_Activity[Classification])=2,Term2_Day_6[[#This Row],[Elapsed]],0))</f>
        <v/>
      </c>
      <c r="AQ31" s="106"/>
      <c r="AR31" s="135"/>
      <c r="AS31" s="135"/>
      <c r="AT31" s="102"/>
      <c r="AU31" s="105" t="str">
        <f>IF(OR(ISBLANK(Term2_Day_7[[#This Row],[Start]]),ISBLANK(Term2_Day_7[[#This Row],[End]])),"",(Term2_Day_7[[#This Row],[End]]-Term2_Day_7[[#This Row],[Start]])*1440)</f>
        <v/>
      </c>
      <c r="AV31" s="105" t="str">
        <f>IF(ISBLANK(Term2_Day_7[[#This Row],[Activity]]),"",IF(_xlfn.XLOOKUP(Term2_Day_7[[#This Row],[Activity]],Types_of_Activity[Type of Activity],Types_of_Activity[Classification])=1,Term2_Day_7[[#This Row],[Elapsed]],0))</f>
        <v/>
      </c>
      <c r="AW31" s="105" t="str">
        <f>IF(ISBLANK(Term2_Day_7[[#This Row],[Activity]]),"",IF(_xlfn.XLOOKUP(Term2_Day_7[[#This Row],[Activity]],Types_of_Activity[Type of Activity],Types_of_Activity[Classification])=2,Term2_Day_7[[#This Row],[Elapsed]],0))</f>
        <v/>
      </c>
      <c r="AX31" s="106"/>
      <c r="AY31" s="135"/>
      <c r="AZ31" s="135"/>
      <c r="BA31" s="102"/>
      <c r="BB31" s="105" t="str">
        <f>IF(OR(ISBLANK(Term2_Day_8[[#This Row],[Start]]),ISBLANK(Term2_Day_8[[#This Row],[End]])),"",(Term2_Day_8[[#This Row],[End]]-Term2_Day_8[[#This Row],[Start]])*1440)</f>
        <v/>
      </c>
      <c r="BC31" s="105" t="str">
        <f>IF(ISBLANK(Term2_Day_8[[#This Row],[Activity]]),"",IF(_xlfn.XLOOKUP(Term2_Day_8[[#This Row],[Activity]],Types_of_Activity[Type of Activity],Types_of_Activity[Classification])=1,Term2_Day_8[[#This Row],[Elapsed]],0))</f>
        <v/>
      </c>
      <c r="BD31" s="105" t="str">
        <f>IF(ISBLANK(Term2_Day_8[[#This Row],[Activity]]),"",IF(_xlfn.XLOOKUP(Term2_Day_8[[#This Row],[Activity]],Types_of_Activity[Type of Activity],Types_of_Activity[Classification])=2,Term2_Day_8[[#This Row],[Elapsed]],0))</f>
        <v/>
      </c>
      <c r="BE31" s="106"/>
      <c r="BF31" s="135"/>
      <c r="BG31" s="135"/>
      <c r="BH31" s="102"/>
      <c r="BI31" s="105" t="str">
        <f>IF(OR(ISBLANK(Term2_Day_9[[#This Row],[Start]]),ISBLANK(Term2_Day_9[[#This Row],[End]])),"",(Term2_Day_9[[#This Row],[End]]-Term2_Day_9[[#This Row],[Start]])*1440)</f>
        <v/>
      </c>
      <c r="BJ31" s="105" t="str">
        <f>IF(ISBLANK(Term2_Day_9[[#This Row],[Activity]]),"",IF(_xlfn.XLOOKUP(Term2_Day_9[[#This Row],[Activity]],Types_of_Activity[Type of Activity],Types_of_Activity[Classification])=1,Term2_Day_9[[#This Row],[Elapsed]],0))</f>
        <v/>
      </c>
      <c r="BK31" s="105" t="str">
        <f>IF(ISBLANK(Term2_Day_9[[#This Row],[Activity]]),"",IF(_xlfn.XLOOKUP(Term2_Day_9[[#This Row],[Activity]],Types_of_Activity[Type of Activity],Types_of_Activity[Classification])=2,Term2_Day_9[[#This Row],[Elapsed]],0))</f>
        <v/>
      </c>
      <c r="BL31" s="106"/>
      <c r="BM31" s="135"/>
      <c r="BN31" s="135"/>
      <c r="BO31" s="102"/>
      <c r="BP31" s="105" t="str">
        <f>IF(OR(ISBLANK(Term2_Day_10[[#This Row],[Start]]),ISBLANK(Term2_Day_10[[#This Row],[End]])),"",(Term2_Day_10[[#This Row],[End]]-Term2_Day_10[[#This Row],[Start]])*1440)</f>
        <v/>
      </c>
      <c r="BQ31" s="105" t="str">
        <f>IF(ISBLANK(Term2_Day_10[[#This Row],[Activity]]),"",IF(_xlfn.XLOOKUP(Term2_Day_10[[#This Row],[Activity]],Types_of_Activity[Type of Activity],Types_of_Activity[Classification])=1,Term2_Day_10[[#This Row],[Elapsed]],0))</f>
        <v/>
      </c>
      <c r="BR31" s="105" t="str">
        <f>IF(ISBLANK(Term2_Day_10[[#This Row],[Activity]]),"",IF(_xlfn.XLOOKUP(Term2_Day_10[[#This Row],[Activity]],Types_of_Activity[Type of Activity],Types_of_Activity[Classification])=2,Term2_Day_10[[#This Row],[Elapsed]],0))</f>
        <v/>
      </c>
      <c r="BS31" s="106"/>
    </row>
    <row r="32" spans="2:71" x14ac:dyDescent="0.3">
      <c r="B32" s="135"/>
      <c r="C32" s="135"/>
      <c r="D32" s="102"/>
      <c r="E32" s="105" t="str">
        <f>IF(OR(ISBLANK(Term2_Day_1[[#This Row],[Start]]),ISBLANK(Term2_Day_1[[#This Row],[End]])),"",(Term2_Day_1[[#This Row],[End]]-Term2_Day_1[[#This Row],[Start]])*1440)</f>
        <v/>
      </c>
      <c r="F32" s="105" t="str">
        <f>IF(ISBLANK(Term2_Day_1[[#This Row],[Activity]]),"",IF(_xlfn.XLOOKUP(Term2_Day_1[[#This Row],[Activity]],Types_of_Activity[Type of Activity],Types_of_Activity[Classification])=1,Term2_Day_1[[#This Row],[Elapsed]],0))</f>
        <v/>
      </c>
      <c r="G32" s="105" t="str">
        <f>IF(ISBLANK(Term2_Day_1[[#This Row],[Activity]]),"",IF(_xlfn.XLOOKUP(Term2_Day_1[[#This Row],[Activity]],Types_of_Activity[Type of Activity],Types_of_Activity[Classification])=2,Term2_Day_1[[#This Row],[Elapsed]],0))</f>
        <v/>
      </c>
      <c r="I32" s="135"/>
      <c r="J32" s="135"/>
      <c r="K32" s="102"/>
      <c r="L32" s="105" t="str">
        <f>IF(OR(ISBLANK(Term2_Day_2[[#This Row],[Start]]),ISBLANK(Term2_Day_2[[#This Row],[End]])),"",(Term2_Day_2[[#This Row],[End]]-Term2_Day_2[[#This Row],[Start]])*1440)</f>
        <v/>
      </c>
      <c r="M32" s="105" t="str">
        <f>IF(ISBLANK(Term2_Day_2[[#This Row],[Activity]]),"",IF(_xlfn.XLOOKUP(Term2_Day_2[[#This Row],[Activity]],Types_of_Activity[Type of Activity],Types_of_Activity[Classification])=1,Term2_Day_2[[#This Row],[Elapsed]],0))</f>
        <v/>
      </c>
      <c r="N32" s="105" t="str">
        <f>IF(ISBLANK(Term2_Day_2[[#This Row],[Activity]]),"",IF(_xlfn.XLOOKUP(Term2_Day_2[[#This Row],[Activity]],Types_of_Activity[Type of Activity],Types_of_Activity[Classification])=2,Term2_Day_2[[#This Row],[Elapsed]],0))</f>
        <v/>
      </c>
      <c r="P32" s="135"/>
      <c r="Q32" s="135"/>
      <c r="R32" s="102"/>
      <c r="S32" s="105" t="str">
        <f>IF(OR(ISBLANK(Term2_Day_3[[#This Row],[Start]]),ISBLANK(Term2_Day_3[[#This Row],[End]])),"",(Term2_Day_3[[#This Row],[End]]-Term2_Day_3[[#This Row],[Start]])*1440)</f>
        <v/>
      </c>
      <c r="T32" s="105" t="str">
        <f>IF(ISBLANK(Term2_Day_3[[#This Row],[Activity]]),"",IF(_xlfn.XLOOKUP(Term2_Day_3[[#This Row],[Activity]],Types_of_Activity[Type of Activity],Types_of_Activity[Classification])=1,Term2_Day_3[[#This Row],[Elapsed]],0))</f>
        <v/>
      </c>
      <c r="U32" s="105" t="str">
        <f>IF(ISBLANK(Term2_Day_3[[#This Row],[Activity]]),"",IF(_xlfn.XLOOKUP(Term2_Day_3[[#This Row],[Activity]],Types_of_Activity[Type of Activity],Types_of_Activity[Classification])=2,Term2_Day_3[[#This Row],[Elapsed]],0))</f>
        <v/>
      </c>
      <c r="W32" s="135"/>
      <c r="X32" s="135"/>
      <c r="Y32" s="102"/>
      <c r="Z32" s="105" t="str">
        <f>IF(OR(ISBLANK(Term2_Day_4[[#This Row],[Start]]),ISBLANK(Term2_Day_4[[#This Row],[End]])),"",(Term2_Day_4[[#This Row],[End]]-Term2_Day_4[[#This Row],[Start]])*1440)</f>
        <v/>
      </c>
      <c r="AA32" s="105" t="str">
        <f>IF(ISBLANK(Term2_Day_4[[#This Row],[Activity]]),"",IF(_xlfn.XLOOKUP(Term2_Day_4[[#This Row],[Activity]],Types_of_Activity[Type of Activity],Types_of_Activity[Classification])=1,Term2_Day_4[[#This Row],[Elapsed]],0))</f>
        <v/>
      </c>
      <c r="AB32" s="105" t="str">
        <f>IF(ISBLANK(Term2_Day_4[[#This Row],[Activity]]),"",IF(_xlfn.XLOOKUP(Term2_Day_4[[#This Row],[Activity]],Types_of_Activity[Type of Activity],Types_of_Activity[Classification])=2,Term2_Day_4[[#This Row],[Elapsed]],0))</f>
        <v/>
      </c>
      <c r="AD32" s="135"/>
      <c r="AE32" s="135"/>
      <c r="AF32" s="102"/>
      <c r="AG32" s="105" t="str">
        <f>IF(OR(ISBLANK(Term2_Day_5[[#This Row],[Start]]),ISBLANK(Term2_Day_5[[#This Row],[End]])),"",(Term2_Day_5[[#This Row],[End]]-Term2_Day_5[[#This Row],[Start]])*1440)</f>
        <v/>
      </c>
      <c r="AH32" s="105" t="str">
        <f>IF(ISBLANK(Term2_Day_5[[#This Row],[Activity]]),"",IF(_xlfn.XLOOKUP(Term2_Day_5[[#This Row],[Activity]],Types_of_Activity[Type of Activity],Types_of_Activity[Classification])=1,Term2_Day_5[[#This Row],[Elapsed]],0))</f>
        <v/>
      </c>
      <c r="AI32" s="105" t="str">
        <f>IF(ISBLANK(Term2_Day_5[[#This Row],[Activity]]),"",IF(_xlfn.XLOOKUP(Term2_Day_5[[#This Row],[Activity]],Types_of_Activity[Type of Activity],Types_of_Activity[Classification])=2,Term2_Day_5[[#This Row],[Elapsed]],0))</f>
        <v/>
      </c>
      <c r="AJ32" s="106"/>
      <c r="AK32" s="135"/>
      <c r="AL32" s="135"/>
      <c r="AM32" s="102"/>
      <c r="AN32" s="105" t="str">
        <f>IF(OR(ISBLANK(Term2_Day_6[[#This Row],[Start]]),ISBLANK(Term2_Day_6[[#This Row],[End]])),"",(Term2_Day_6[[#This Row],[End]]-Term2_Day_6[[#This Row],[Start]])*1440)</f>
        <v/>
      </c>
      <c r="AO32" s="105" t="str">
        <f>IF(ISBLANK(Term2_Day_6[[#This Row],[Activity]]),"",IF(_xlfn.XLOOKUP(Term2_Day_6[[#This Row],[Activity]],Types_of_Activity[Type of Activity],Types_of_Activity[Classification])=1,Term2_Day_6[[#This Row],[Elapsed]],0))</f>
        <v/>
      </c>
      <c r="AP32" s="105" t="str">
        <f>IF(ISBLANK(Term2_Day_6[[#This Row],[Activity]]),"",IF(_xlfn.XLOOKUP(Term2_Day_6[[#This Row],[Activity]],Types_of_Activity[Type of Activity],Types_of_Activity[Classification])=2,Term2_Day_6[[#This Row],[Elapsed]],0))</f>
        <v/>
      </c>
      <c r="AQ32" s="106"/>
      <c r="AR32" s="135"/>
      <c r="AS32" s="135"/>
      <c r="AT32" s="102"/>
      <c r="AU32" s="105" t="str">
        <f>IF(OR(ISBLANK(Term2_Day_7[[#This Row],[Start]]),ISBLANK(Term2_Day_7[[#This Row],[End]])),"",(Term2_Day_7[[#This Row],[End]]-Term2_Day_7[[#This Row],[Start]])*1440)</f>
        <v/>
      </c>
      <c r="AV32" s="105" t="str">
        <f>IF(ISBLANK(Term2_Day_7[[#This Row],[Activity]]),"",IF(_xlfn.XLOOKUP(Term2_Day_7[[#This Row],[Activity]],Types_of_Activity[Type of Activity],Types_of_Activity[Classification])=1,Term2_Day_7[[#This Row],[Elapsed]],0))</f>
        <v/>
      </c>
      <c r="AW32" s="105" t="str">
        <f>IF(ISBLANK(Term2_Day_7[[#This Row],[Activity]]),"",IF(_xlfn.XLOOKUP(Term2_Day_7[[#This Row],[Activity]],Types_of_Activity[Type of Activity],Types_of_Activity[Classification])=2,Term2_Day_7[[#This Row],[Elapsed]],0))</f>
        <v/>
      </c>
      <c r="AX32" s="106"/>
      <c r="AY32" s="135"/>
      <c r="AZ32" s="135"/>
      <c r="BA32" s="102"/>
      <c r="BB32" s="105" t="str">
        <f>IF(OR(ISBLANK(Term2_Day_8[[#This Row],[Start]]),ISBLANK(Term2_Day_8[[#This Row],[End]])),"",(Term2_Day_8[[#This Row],[End]]-Term2_Day_8[[#This Row],[Start]])*1440)</f>
        <v/>
      </c>
      <c r="BC32" s="105" t="str">
        <f>IF(ISBLANK(Term2_Day_8[[#This Row],[Activity]]),"",IF(_xlfn.XLOOKUP(Term2_Day_8[[#This Row],[Activity]],Types_of_Activity[Type of Activity],Types_of_Activity[Classification])=1,Term2_Day_8[[#This Row],[Elapsed]],0))</f>
        <v/>
      </c>
      <c r="BD32" s="105" t="str">
        <f>IF(ISBLANK(Term2_Day_8[[#This Row],[Activity]]),"",IF(_xlfn.XLOOKUP(Term2_Day_8[[#This Row],[Activity]],Types_of_Activity[Type of Activity],Types_of_Activity[Classification])=2,Term2_Day_8[[#This Row],[Elapsed]],0))</f>
        <v/>
      </c>
      <c r="BE32" s="106"/>
      <c r="BF32" s="135"/>
      <c r="BG32" s="135"/>
      <c r="BH32" s="102"/>
      <c r="BI32" s="105" t="str">
        <f>IF(OR(ISBLANK(Term2_Day_9[[#This Row],[Start]]),ISBLANK(Term2_Day_9[[#This Row],[End]])),"",(Term2_Day_9[[#This Row],[End]]-Term2_Day_9[[#This Row],[Start]])*1440)</f>
        <v/>
      </c>
      <c r="BJ32" s="105" t="str">
        <f>IF(ISBLANK(Term2_Day_9[[#This Row],[Activity]]),"",IF(_xlfn.XLOOKUP(Term2_Day_9[[#This Row],[Activity]],Types_of_Activity[Type of Activity],Types_of_Activity[Classification])=1,Term2_Day_9[[#This Row],[Elapsed]],0))</f>
        <v/>
      </c>
      <c r="BK32" s="105" t="str">
        <f>IF(ISBLANK(Term2_Day_9[[#This Row],[Activity]]),"",IF(_xlfn.XLOOKUP(Term2_Day_9[[#This Row],[Activity]],Types_of_Activity[Type of Activity],Types_of_Activity[Classification])=2,Term2_Day_9[[#This Row],[Elapsed]],0))</f>
        <v/>
      </c>
      <c r="BL32" s="106"/>
      <c r="BM32" s="135"/>
      <c r="BN32" s="135"/>
      <c r="BO32" s="102"/>
      <c r="BP32" s="105" t="str">
        <f>IF(OR(ISBLANK(Term2_Day_10[[#This Row],[Start]]),ISBLANK(Term2_Day_10[[#This Row],[End]])),"",(Term2_Day_10[[#This Row],[End]]-Term2_Day_10[[#This Row],[Start]])*1440)</f>
        <v/>
      </c>
      <c r="BQ32" s="105" t="str">
        <f>IF(ISBLANK(Term2_Day_10[[#This Row],[Activity]]),"",IF(_xlfn.XLOOKUP(Term2_Day_10[[#This Row],[Activity]],Types_of_Activity[Type of Activity],Types_of_Activity[Classification])=1,Term2_Day_10[[#This Row],[Elapsed]],0))</f>
        <v/>
      </c>
      <c r="BR32" s="105" t="str">
        <f>IF(ISBLANK(Term2_Day_10[[#This Row],[Activity]]),"",IF(_xlfn.XLOOKUP(Term2_Day_10[[#This Row],[Activity]],Types_of_Activity[Type of Activity],Types_of_Activity[Classification])=2,Term2_Day_10[[#This Row],[Elapsed]],0))</f>
        <v/>
      </c>
      <c r="BS32" s="106"/>
    </row>
    <row r="33" spans="2:71" x14ac:dyDescent="0.3">
      <c r="B33" s="135"/>
      <c r="C33" s="135"/>
      <c r="D33" s="102"/>
      <c r="E33" s="105" t="str">
        <f>IF(OR(ISBLANK(Term2_Day_1[[#This Row],[Start]]),ISBLANK(Term2_Day_1[[#This Row],[End]])),"",(Term2_Day_1[[#This Row],[End]]-Term2_Day_1[[#This Row],[Start]])*1440)</f>
        <v/>
      </c>
      <c r="F33" s="105" t="str">
        <f>IF(ISBLANK(Term2_Day_1[[#This Row],[Activity]]),"",IF(_xlfn.XLOOKUP(Term2_Day_1[[#This Row],[Activity]],Types_of_Activity[Type of Activity],Types_of_Activity[Classification])=1,Term2_Day_1[[#This Row],[Elapsed]],0))</f>
        <v/>
      </c>
      <c r="G33" s="105" t="str">
        <f>IF(ISBLANK(Term2_Day_1[[#This Row],[Activity]]),"",IF(_xlfn.XLOOKUP(Term2_Day_1[[#This Row],[Activity]],Types_of_Activity[Type of Activity],Types_of_Activity[Classification])=2,Term2_Day_1[[#This Row],[Elapsed]],0))</f>
        <v/>
      </c>
      <c r="I33" s="135"/>
      <c r="J33" s="135"/>
      <c r="K33" s="102"/>
      <c r="L33" s="105" t="str">
        <f>IF(OR(ISBLANK(Term2_Day_2[[#This Row],[Start]]),ISBLANK(Term2_Day_2[[#This Row],[End]])),"",(Term2_Day_2[[#This Row],[End]]-Term2_Day_2[[#This Row],[Start]])*1440)</f>
        <v/>
      </c>
      <c r="M33" s="105" t="str">
        <f>IF(ISBLANK(Term2_Day_2[[#This Row],[Activity]]),"",IF(_xlfn.XLOOKUP(Term2_Day_2[[#This Row],[Activity]],Types_of_Activity[Type of Activity],Types_of_Activity[Classification])=1,Term2_Day_2[[#This Row],[Elapsed]],0))</f>
        <v/>
      </c>
      <c r="N33" s="105" t="str">
        <f>IF(ISBLANK(Term2_Day_2[[#This Row],[Activity]]),"",IF(_xlfn.XLOOKUP(Term2_Day_2[[#This Row],[Activity]],Types_of_Activity[Type of Activity],Types_of_Activity[Classification])=2,Term2_Day_2[[#This Row],[Elapsed]],0))</f>
        <v/>
      </c>
      <c r="P33" s="135"/>
      <c r="Q33" s="135"/>
      <c r="R33" s="102"/>
      <c r="S33" s="105" t="str">
        <f>IF(OR(ISBLANK(Term2_Day_3[[#This Row],[Start]]),ISBLANK(Term2_Day_3[[#This Row],[End]])),"",(Term2_Day_3[[#This Row],[End]]-Term2_Day_3[[#This Row],[Start]])*1440)</f>
        <v/>
      </c>
      <c r="T33" s="105" t="str">
        <f>IF(ISBLANK(Term2_Day_3[[#This Row],[Activity]]),"",IF(_xlfn.XLOOKUP(Term2_Day_3[[#This Row],[Activity]],Types_of_Activity[Type of Activity],Types_of_Activity[Classification])=1,Term2_Day_3[[#This Row],[Elapsed]],0))</f>
        <v/>
      </c>
      <c r="U33" s="105" t="str">
        <f>IF(ISBLANK(Term2_Day_3[[#This Row],[Activity]]),"",IF(_xlfn.XLOOKUP(Term2_Day_3[[#This Row],[Activity]],Types_of_Activity[Type of Activity],Types_of_Activity[Classification])=2,Term2_Day_3[[#This Row],[Elapsed]],0))</f>
        <v/>
      </c>
      <c r="W33" s="135"/>
      <c r="X33" s="135"/>
      <c r="Y33" s="102"/>
      <c r="Z33" s="105" t="str">
        <f>IF(OR(ISBLANK(Term2_Day_4[[#This Row],[Start]]),ISBLANK(Term2_Day_4[[#This Row],[End]])),"",(Term2_Day_4[[#This Row],[End]]-Term2_Day_4[[#This Row],[Start]])*1440)</f>
        <v/>
      </c>
      <c r="AA33" s="105" t="str">
        <f>IF(ISBLANK(Term2_Day_4[[#This Row],[Activity]]),"",IF(_xlfn.XLOOKUP(Term2_Day_4[[#This Row],[Activity]],Types_of_Activity[Type of Activity],Types_of_Activity[Classification])=1,Term2_Day_4[[#This Row],[Elapsed]],0))</f>
        <v/>
      </c>
      <c r="AB33" s="105" t="str">
        <f>IF(ISBLANK(Term2_Day_4[[#This Row],[Activity]]),"",IF(_xlfn.XLOOKUP(Term2_Day_4[[#This Row],[Activity]],Types_of_Activity[Type of Activity],Types_of_Activity[Classification])=2,Term2_Day_4[[#This Row],[Elapsed]],0))</f>
        <v/>
      </c>
      <c r="AD33" s="135"/>
      <c r="AE33" s="135"/>
      <c r="AF33" s="102"/>
      <c r="AG33" s="105" t="str">
        <f>IF(OR(ISBLANK(Term2_Day_5[[#This Row],[Start]]),ISBLANK(Term2_Day_5[[#This Row],[End]])),"",(Term2_Day_5[[#This Row],[End]]-Term2_Day_5[[#This Row],[Start]])*1440)</f>
        <v/>
      </c>
      <c r="AH33" s="105" t="str">
        <f>IF(ISBLANK(Term2_Day_5[[#This Row],[Activity]]),"",IF(_xlfn.XLOOKUP(Term2_Day_5[[#This Row],[Activity]],Types_of_Activity[Type of Activity],Types_of_Activity[Classification])=1,Term2_Day_5[[#This Row],[Elapsed]],0))</f>
        <v/>
      </c>
      <c r="AI33" s="105" t="str">
        <f>IF(ISBLANK(Term2_Day_5[[#This Row],[Activity]]),"",IF(_xlfn.XLOOKUP(Term2_Day_5[[#This Row],[Activity]],Types_of_Activity[Type of Activity],Types_of_Activity[Classification])=2,Term2_Day_5[[#This Row],[Elapsed]],0))</f>
        <v/>
      </c>
      <c r="AJ33" s="106"/>
      <c r="AK33" s="135"/>
      <c r="AL33" s="135"/>
      <c r="AM33" s="102"/>
      <c r="AN33" s="105" t="str">
        <f>IF(OR(ISBLANK(Term2_Day_6[[#This Row],[Start]]),ISBLANK(Term2_Day_6[[#This Row],[End]])),"",(Term2_Day_6[[#This Row],[End]]-Term2_Day_6[[#This Row],[Start]])*1440)</f>
        <v/>
      </c>
      <c r="AO33" s="105" t="str">
        <f>IF(ISBLANK(Term2_Day_6[[#This Row],[Activity]]),"",IF(_xlfn.XLOOKUP(Term2_Day_6[[#This Row],[Activity]],Types_of_Activity[Type of Activity],Types_of_Activity[Classification])=1,Term2_Day_6[[#This Row],[Elapsed]],0))</f>
        <v/>
      </c>
      <c r="AP33" s="105" t="str">
        <f>IF(ISBLANK(Term2_Day_6[[#This Row],[Activity]]),"",IF(_xlfn.XLOOKUP(Term2_Day_6[[#This Row],[Activity]],Types_of_Activity[Type of Activity],Types_of_Activity[Classification])=2,Term2_Day_6[[#This Row],[Elapsed]],0))</f>
        <v/>
      </c>
      <c r="AQ33" s="106"/>
      <c r="AR33" s="135"/>
      <c r="AS33" s="135"/>
      <c r="AT33" s="102"/>
      <c r="AU33" s="105" t="str">
        <f>IF(OR(ISBLANK(Term2_Day_7[[#This Row],[Start]]),ISBLANK(Term2_Day_7[[#This Row],[End]])),"",(Term2_Day_7[[#This Row],[End]]-Term2_Day_7[[#This Row],[Start]])*1440)</f>
        <v/>
      </c>
      <c r="AV33" s="105" t="str">
        <f>IF(ISBLANK(Term2_Day_7[[#This Row],[Activity]]),"",IF(_xlfn.XLOOKUP(Term2_Day_7[[#This Row],[Activity]],Types_of_Activity[Type of Activity],Types_of_Activity[Classification])=1,Term2_Day_7[[#This Row],[Elapsed]],0))</f>
        <v/>
      </c>
      <c r="AW33" s="105" t="str">
        <f>IF(ISBLANK(Term2_Day_7[[#This Row],[Activity]]),"",IF(_xlfn.XLOOKUP(Term2_Day_7[[#This Row],[Activity]],Types_of_Activity[Type of Activity],Types_of_Activity[Classification])=2,Term2_Day_7[[#This Row],[Elapsed]],0))</f>
        <v/>
      </c>
      <c r="AX33" s="106"/>
      <c r="AY33" s="135"/>
      <c r="AZ33" s="135"/>
      <c r="BA33" s="102"/>
      <c r="BB33" s="105" t="str">
        <f>IF(OR(ISBLANK(Term2_Day_8[[#This Row],[Start]]),ISBLANK(Term2_Day_8[[#This Row],[End]])),"",(Term2_Day_8[[#This Row],[End]]-Term2_Day_8[[#This Row],[Start]])*1440)</f>
        <v/>
      </c>
      <c r="BC33" s="105" t="str">
        <f>IF(ISBLANK(Term2_Day_8[[#This Row],[Activity]]),"",IF(_xlfn.XLOOKUP(Term2_Day_8[[#This Row],[Activity]],Types_of_Activity[Type of Activity],Types_of_Activity[Classification])=1,Term2_Day_8[[#This Row],[Elapsed]],0))</f>
        <v/>
      </c>
      <c r="BD33" s="105" t="str">
        <f>IF(ISBLANK(Term2_Day_8[[#This Row],[Activity]]),"",IF(_xlfn.XLOOKUP(Term2_Day_8[[#This Row],[Activity]],Types_of_Activity[Type of Activity],Types_of_Activity[Classification])=2,Term2_Day_8[[#This Row],[Elapsed]],0))</f>
        <v/>
      </c>
      <c r="BE33" s="106"/>
      <c r="BF33" s="135"/>
      <c r="BG33" s="135"/>
      <c r="BH33" s="102"/>
      <c r="BI33" s="105" t="str">
        <f>IF(OR(ISBLANK(Term2_Day_9[[#This Row],[Start]]),ISBLANK(Term2_Day_9[[#This Row],[End]])),"",(Term2_Day_9[[#This Row],[End]]-Term2_Day_9[[#This Row],[Start]])*1440)</f>
        <v/>
      </c>
      <c r="BJ33" s="105" t="str">
        <f>IF(ISBLANK(Term2_Day_9[[#This Row],[Activity]]),"",IF(_xlfn.XLOOKUP(Term2_Day_9[[#This Row],[Activity]],Types_of_Activity[Type of Activity],Types_of_Activity[Classification])=1,Term2_Day_9[[#This Row],[Elapsed]],0))</f>
        <v/>
      </c>
      <c r="BK33" s="105" t="str">
        <f>IF(ISBLANK(Term2_Day_9[[#This Row],[Activity]]),"",IF(_xlfn.XLOOKUP(Term2_Day_9[[#This Row],[Activity]],Types_of_Activity[Type of Activity],Types_of_Activity[Classification])=2,Term2_Day_9[[#This Row],[Elapsed]],0))</f>
        <v/>
      </c>
      <c r="BL33" s="106"/>
      <c r="BM33" s="135"/>
      <c r="BN33" s="135"/>
      <c r="BO33" s="102"/>
      <c r="BP33" s="105" t="str">
        <f>IF(OR(ISBLANK(Term2_Day_10[[#This Row],[Start]]),ISBLANK(Term2_Day_10[[#This Row],[End]])),"",(Term2_Day_10[[#This Row],[End]]-Term2_Day_10[[#This Row],[Start]])*1440)</f>
        <v/>
      </c>
      <c r="BQ33" s="105" t="str">
        <f>IF(ISBLANK(Term2_Day_10[[#This Row],[Activity]]),"",IF(_xlfn.XLOOKUP(Term2_Day_10[[#This Row],[Activity]],Types_of_Activity[Type of Activity],Types_of_Activity[Classification])=1,Term2_Day_10[[#This Row],[Elapsed]],0))</f>
        <v/>
      </c>
      <c r="BR33" s="105" t="str">
        <f>IF(ISBLANK(Term2_Day_10[[#This Row],[Activity]]),"",IF(_xlfn.XLOOKUP(Term2_Day_10[[#This Row],[Activity]],Types_of_Activity[Type of Activity],Types_of_Activity[Classification])=2,Term2_Day_10[[#This Row],[Elapsed]],0))</f>
        <v/>
      </c>
      <c r="BS33" s="106"/>
    </row>
    <row r="34" spans="2:71" x14ac:dyDescent="0.3">
      <c r="B34" s="135"/>
      <c r="C34" s="135"/>
      <c r="D34" s="102"/>
      <c r="E34" s="105" t="str">
        <f>IF(OR(ISBLANK(Term2_Day_1[[#This Row],[Start]]),ISBLANK(Term2_Day_1[[#This Row],[End]])),"",(Term2_Day_1[[#This Row],[End]]-Term2_Day_1[[#This Row],[Start]])*1440)</f>
        <v/>
      </c>
      <c r="F34" s="105" t="str">
        <f>IF(ISBLANK(Term2_Day_1[[#This Row],[Activity]]),"",IF(_xlfn.XLOOKUP(Term2_Day_1[[#This Row],[Activity]],Types_of_Activity[Type of Activity],Types_of_Activity[Classification])=1,Term2_Day_1[[#This Row],[Elapsed]],0))</f>
        <v/>
      </c>
      <c r="G34" s="105" t="str">
        <f>IF(ISBLANK(Term2_Day_1[[#This Row],[Activity]]),"",IF(_xlfn.XLOOKUP(Term2_Day_1[[#This Row],[Activity]],Types_of_Activity[Type of Activity],Types_of_Activity[Classification])=2,Term2_Day_1[[#This Row],[Elapsed]],0))</f>
        <v/>
      </c>
      <c r="I34" s="135"/>
      <c r="J34" s="135"/>
      <c r="K34" s="102"/>
      <c r="L34" s="105" t="str">
        <f>IF(OR(ISBLANK(Term2_Day_2[[#This Row],[Start]]),ISBLANK(Term2_Day_2[[#This Row],[End]])),"",(Term2_Day_2[[#This Row],[End]]-Term2_Day_2[[#This Row],[Start]])*1440)</f>
        <v/>
      </c>
      <c r="M34" s="105" t="str">
        <f>IF(ISBLANK(Term2_Day_2[[#This Row],[Activity]]),"",IF(_xlfn.XLOOKUP(Term2_Day_2[[#This Row],[Activity]],Types_of_Activity[Type of Activity],Types_of_Activity[Classification])=1,Term2_Day_2[[#This Row],[Elapsed]],0))</f>
        <v/>
      </c>
      <c r="N34" s="105" t="str">
        <f>IF(ISBLANK(Term2_Day_2[[#This Row],[Activity]]),"",IF(_xlfn.XLOOKUP(Term2_Day_2[[#This Row],[Activity]],Types_of_Activity[Type of Activity],Types_of_Activity[Classification])=2,Term2_Day_2[[#This Row],[Elapsed]],0))</f>
        <v/>
      </c>
      <c r="P34" s="135"/>
      <c r="Q34" s="135"/>
      <c r="R34" s="102"/>
      <c r="S34" s="105" t="str">
        <f>IF(OR(ISBLANK(Term2_Day_3[[#This Row],[Start]]),ISBLANK(Term2_Day_3[[#This Row],[End]])),"",(Term2_Day_3[[#This Row],[End]]-Term2_Day_3[[#This Row],[Start]])*1440)</f>
        <v/>
      </c>
      <c r="T34" s="105" t="str">
        <f>IF(ISBLANK(Term2_Day_3[[#This Row],[Activity]]),"",IF(_xlfn.XLOOKUP(Term2_Day_3[[#This Row],[Activity]],Types_of_Activity[Type of Activity],Types_of_Activity[Classification])=1,Term2_Day_3[[#This Row],[Elapsed]],0))</f>
        <v/>
      </c>
      <c r="U34" s="105" t="str">
        <f>IF(ISBLANK(Term2_Day_3[[#This Row],[Activity]]),"",IF(_xlfn.XLOOKUP(Term2_Day_3[[#This Row],[Activity]],Types_of_Activity[Type of Activity],Types_of_Activity[Classification])=2,Term2_Day_3[[#This Row],[Elapsed]],0))</f>
        <v/>
      </c>
      <c r="W34" s="135"/>
      <c r="X34" s="135"/>
      <c r="Y34" s="102"/>
      <c r="Z34" s="105" t="str">
        <f>IF(OR(ISBLANK(Term2_Day_4[[#This Row],[Start]]),ISBLANK(Term2_Day_4[[#This Row],[End]])),"",(Term2_Day_4[[#This Row],[End]]-Term2_Day_4[[#This Row],[Start]])*1440)</f>
        <v/>
      </c>
      <c r="AA34" s="105" t="str">
        <f>IF(ISBLANK(Term2_Day_4[[#This Row],[Activity]]),"",IF(_xlfn.XLOOKUP(Term2_Day_4[[#This Row],[Activity]],Types_of_Activity[Type of Activity],Types_of_Activity[Classification])=1,Term2_Day_4[[#This Row],[Elapsed]],0))</f>
        <v/>
      </c>
      <c r="AB34" s="105" t="str">
        <f>IF(ISBLANK(Term2_Day_4[[#This Row],[Activity]]),"",IF(_xlfn.XLOOKUP(Term2_Day_4[[#This Row],[Activity]],Types_of_Activity[Type of Activity],Types_of_Activity[Classification])=2,Term2_Day_4[[#This Row],[Elapsed]],0))</f>
        <v/>
      </c>
      <c r="AD34" s="135"/>
      <c r="AE34" s="135"/>
      <c r="AF34" s="102"/>
      <c r="AG34" s="105" t="str">
        <f>IF(OR(ISBLANK(Term2_Day_5[[#This Row],[Start]]),ISBLANK(Term2_Day_5[[#This Row],[End]])),"",(Term2_Day_5[[#This Row],[End]]-Term2_Day_5[[#This Row],[Start]])*1440)</f>
        <v/>
      </c>
      <c r="AH34" s="105" t="str">
        <f>IF(ISBLANK(Term2_Day_5[[#This Row],[Activity]]),"",IF(_xlfn.XLOOKUP(Term2_Day_5[[#This Row],[Activity]],Types_of_Activity[Type of Activity],Types_of_Activity[Classification])=1,Term2_Day_5[[#This Row],[Elapsed]],0))</f>
        <v/>
      </c>
      <c r="AI34" s="105" t="str">
        <f>IF(ISBLANK(Term2_Day_5[[#This Row],[Activity]]),"",IF(_xlfn.XLOOKUP(Term2_Day_5[[#This Row],[Activity]],Types_of_Activity[Type of Activity],Types_of_Activity[Classification])=2,Term2_Day_5[[#This Row],[Elapsed]],0))</f>
        <v/>
      </c>
      <c r="AJ34" s="106"/>
      <c r="AK34" s="135"/>
      <c r="AL34" s="135"/>
      <c r="AM34" s="102"/>
      <c r="AN34" s="105" t="str">
        <f>IF(OR(ISBLANK(Term2_Day_6[[#This Row],[Start]]),ISBLANK(Term2_Day_6[[#This Row],[End]])),"",(Term2_Day_6[[#This Row],[End]]-Term2_Day_6[[#This Row],[Start]])*1440)</f>
        <v/>
      </c>
      <c r="AO34" s="105" t="str">
        <f>IF(ISBLANK(Term2_Day_6[[#This Row],[Activity]]),"",IF(_xlfn.XLOOKUP(Term2_Day_6[[#This Row],[Activity]],Types_of_Activity[Type of Activity],Types_of_Activity[Classification])=1,Term2_Day_6[[#This Row],[Elapsed]],0))</f>
        <v/>
      </c>
      <c r="AP34" s="105" t="str">
        <f>IF(ISBLANK(Term2_Day_6[[#This Row],[Activity]]),"",IF(_xlfn.XLOOKUP(Term2_Day_6[[#This Row],[Activity]],Types_of_Activity[Type of Activity],Types_of_Activity[Classification])=2,Term2_Day_6[[#This Row],[Elapsed]],0))</f>
        <v/>
      </c>
      <c r="AQ34" s="106"/>
      <c r="AR34" s="135"/>
      <c r="AS34" s="135"/>
      <c r="AT34" s="102"/>
      <c r="AU34" s="105" t="str">
        <f>IF(OR(ISBLANK(Term2_Day_7[[#This Row],[Start]]),ISBLANK(Term2_Day_7[[#This Row],[End]])),"",(Term2_Day_7[[#This Row],[End]]-Term2_Day_7[[#This Row],[Start]])*1440)</f>
        <v/>
      </c>
      <c r="AV34" s="105" t="str">
        <f>IF(ISBLANK(Term2_Day_7[[#This Row],[Activity]]),"",IF(_xlfn.XLOOKUP(Term2_Day_7[[#This Row],[Activity]],Types_of_Activity[Type of Activity],Types_of_Activity[Classification])=1,Term2_Day_7[[#This Row],[Elapsed]],0))</f>
        <v/>
      </c>
      <c r="AW34" s="105" t="str">
        <f>IF(ISBLANK(Term2_Day_7[[#This Row],[Activity]]),"",IF(_xlfn.XLOOKUP(Term2_Day_7[[#This Row],[Activity]],Types_of_Activity[Type of Activity],Types_of_Activity[Classification])=2,Term2_Day_7[[#This Row],[Elapsed]],0))</f>
        <v/>
      </c>
      <c r="AX34" s="106"/>
      <c r="AY34" s="135"/>
      <c r="AZ34" s="135"/>
      <c r="BA34" s="102"/>
      <c r="BB34" s="105" t="str">
        <f>IF(OR(ISBLANK(Term2_Day_8[[#This Row],[Start]]),ISBLANK(Term2_Day_8[[#This Row],[End]])),"",(Term2_Day_8[[#This Row],[End]]-Term2_Day_8[[#This Row],[Start]])*1440)</f>
        <v/>
      </c>
      <c r="BC34" s="105" t="str">
        <f>IF(ISBLANK(Term2_Day_8[[#This Row],[Activity]]),"",IF(_xlfn.XLOOKUP(Term2_Day_8[[#This Row],[Activity]],Types_of_Activity[Type of Activity],Types_of_Activity[Classification])=1,Term2_Day_8[[#This Row],[Elapsed]],0))</f>
        <v/>
      </c>
      <c r="BD34" s="105" t="str">
        <f>IF(ISBLANK(Term2_Day_8[[#This Row],[Activity]]),"",IF(_xlfn.XLOOKUP(Term2_Day_8[[#This Row],[Activity]],Types_of_Activity[Type of Activity],Types_of_Activity[Classification])=2,Term2_Day_8[[#This Row],[Elapsed]],0))</f>
        <v/>
      </c>
      <c r="BE34" s="106"/>
      <c r="BF34" s="135"/>
      <c r="BG34" s="135"/>
      <c r="BH34" s="102"/>
      <c r="BI34" s="105" t="str">
        <f>IF(OR(ISBLANK(Term2_Day_9[[#This Row],[Start]]),ISBLANK(Term2_Day_9[[#This Row],[End]])),"",(Term2_Day_9[[#This Row],[End]]-Term2_Day_9[[#This Row],[Start]])*1440)</f>
        <v/>
      </c>
      <c r="BJ34" s="105" t="str">
        <f>IF(ISBLANK(Term2_Day_9[[#This Row],[Activity]]),"",IF(_xlfn.XLOOKUP(Term2_Day_9[[#This Row],[Activity]],Types_of_Activity[Type of Activity],Types_of_Activity[Classification])=1,Term2_Day_9[[#This Row],[Elapsed]],0))</f>
        <v/>
      </c>
      <c r="BK34" s="105" t="str">
        <f>IF(ISBLANK(Term2_Day_9[[#This Row],[Activity]]),"",IF(_xlfn.XLOOKUP(Term2_Day_9[[#This Row],[Activity]],Types_of_Activity[Type of Activity],Types_of_Activity[Classification])=2,Term2_Day_9[[#This Row],[Elapsed]],0))</f>
        <v/>
      </c>
      <c r="BL34" s="106"/>
      <c r="BM34" s="135"/>
      <c r="BN34" s="135"/>
      <c r="BO34" s="102"/>
      <c r="BP34" s="105" t="str">
        <f>IF(OR(ISBLANK(Term2_Day_10[[#This Row],[Start]]),ISBLANK(Term2_Day_10[[#This Row],[End]])),"",(Term2_Day_10[[#This Row],[End]]-Term2_Day_10[[#This Row],[Start]])*1440)</f>
        <v/>
      </c>
      <c r="BQ34" s="105" t="str">
        <f>IF(ISBLANK(Term2_Day_10[[#This Row],[Activity]]),"",IF(_xlfn.XLOOKUP(Term2_Day_10[[#This Row],[Activity]],Types_of_Activity[Type of Activity],Types_of_Activity[Classification])=1,Term2_Day_10[[#This Row],[Elapsed]],0))</f>
        <v/>
      </c>
      <c r="BR34" s="105" t="str">
        <f>IF(ISBLANK(Term2_Day_10[[#This Row],[Activity]]),"",IF(_xlfn.XLOOKUP(Term2_Day_10[[#This Row],[Activity]],Types_of_Activity[Type of Activity],Types_of_Activity[Classification])=2,Term2_Day_10[[#This Row],[Elapsed]],0))</f>
        <v/>
      </c>
      <c r="BS34" s="106"/>
    </row>
    <row r="35" spans="2:71" x14ac:dyDescent="0.3">
      <c r="B35" s="135"/>
      <c r="C35" s="135"/>
      <c r="D35" s="102"/>
      <c r="E35" s="105" t="str">
        <f>IF(OR(ISBLANK(Term2_Day_1[[#This Row],[Start]]),ISBLANK(Term2_Day_1[[#This Row],[End]])),"",(Term2_Day_1[[#This Row],[End]]-Term2_Day_1[[#This Row],[Start]])*1440)</f>
        <v/>
      </c>
      <c r="F35" s="105" t="str">
        <f>IF(ISBLANK(Term2_Day_1[[#This Row],[Activity]]),"",IF(_xlfn.XLOOKUP(Term2_Day_1[[#This Row],[Activity]],Types_of_Activity[Type of Activity],Types_of_Activity[Classification])=1,Term2_Day_1[[#This Row],[Elapsed]],0))</f>
        <v/>
      </c>
      <c r="G35" s="105" t="str">
        <f>IF(ISBLANK(Term2_Day_1[[#This Row],[Activity]]),"",IF(_xlfn.XLOOKUP(Term2_Day_1[[#This Row],[Activity]],Types_of_Activity[Type of Activity],Types_of_Activity[Classification])=2,Term2_Day_1[[#This Row],[Elapsed]],0))</f>
        <v/>
      </c>
      <c r="I35" s="135"/>
      <c r="J35" s="135"/>
      <c r="K35" s="102"/>
      <c r="L35" s="105" t="str">
        <f>IF(OR(ISBLANK(Term2_Day_2[[#This Row],[Start]]),ISBLANK(Term2_Day_2[[#This Row],[End]])),"",(Term2_Day_2[[#This Row],[End]]-Term2_Day_2[[#This Row],[Start]])*1440)</f>
        <v/>
      </c>
      <c r="M35" s="105" t="str">
        <f>IF(ISBLANK(Term2_Day_2[[#This Row],[Activity]]),"",IF(_xlfn.XLOOKUP(Term2_Day_2[[#This Row],[Activity]],Types_of_Activity[Type of Activity],Types_of_Activity[Classification])=1,Term2_Day_2[[#This Row],[Elapsed]],0))</f>
        <v/>
      </c>
      <c r="N35" s="105" t="str">
        <f>IF(ISBLANK(Term2_Day_2[[#This Row],[Activity]]),"",IF(_xlfn.XLOOKUP(Term2_Day_2[[#This Row],[Activity]],Types_of_Activity[Type of Activity],Types_of_Activity[Classification])=2,Term2_Day_2[[#This Row],[Elapsed]],0))</f>
        <v/>
      </c>
      <c r="P35" s="135"/>
      <c r="Q35" s="135"/>
      <c r="R35" s="102"/>
      <c r="S35" s="105" t="str">
        <f>IF(OR(ISBLANK(Term2_Day_3[[#This Row],[Start]]),ISBLANK(Term2_Day_3[[#This Row],[End]])),"",(Term2_Day_3[[#This Row],[End]]-Term2_Day_3[[#This Row],[Start]])*1440)</f>
        <v/>
      </c>
      <c r="T35" s="105" t="str">
        <f>IF(ISBLANK(Term2_Day_3[[#This Row],[Activity]]),"",IF(_xlfn.XLOOKUP(Term2_Day_3[[#This Row],[Activity]],Types_of_Activity[Type of Activity],Types_of_Activity[Classification])=1,Term2_Day_3[[#This Row],[Elapsed]],0))</f>
        <v/>
      </c>
      <c r="U35" s="105" t="str">
        <f>IF(ISBLANK(Term2_Day_3[[#This Row],[Activity]]),"",IF(_xlfn.XLOOKUP(Term2_Day_3[[#This Row],[Activity]],Types_of_Activity[Type of Activity],Types_of_Activity[Classification])=2,Term2_Day_3[[#This Row],[Elapsed]],0))</f>
        <v/>
      </c>
      <c r="W35" s="135"/>
      <c r="X35" s="135"/>
      <c r="Y35" s="102"/>
      <c r="Z35" s="105" t="str">
        <f>IF(OR(ISBLANK(Term2_Day_4[[#This Row],[Start]]),ISBLANK(Term2_Day_4[[#This Row],[End]])),"",(Term2_Day_4[[#This Row],[End]]-Term2_Day_4[[#This Row],[Start]])*1440)</f>
        <v/>
      </c>
      <c r="AA35" s="105" t="str">
        <f>IF(ISBLANK(Term2_Day_4[[#This Row],[Activity]]),"",IF(_xlfn.XLOOKUP(Term2_Day_4[[#This Row],[Activity]],Types_of_Activity[Type of Activity],Types_of_Activity[Classification])=1,Term2_Day_4[[#This Row],[Elapsed]],0))</f>
        <v/>
      </c>
      <c r="AB35" s="105" t="str">
        <f>IF(ISBLANK(Term2_Day_4[[#This Row],[Activity]]),"",IF(_xlfn.XLOOKUP(Term2_Day_4[[#This Row],[Activity]],Types_of_Activity[Type of Activity],Types_of_Activity[Classification])=2,Term2_Day_4[[#This Row],[Elapsed]],0))</f>
        <v/>
      </c>
      <c r="AD35" s="135"/>
      <c r="AE35" s="135"/>
      <c r="AF35" s="102"/>
      <c r="AG35" s="105" t="str">
        <f>IF(OR(ISBLANK(Term2_Day_5[[#This Row],[Start]]),ISBLANK(Term2_Day_5[[#This Row],[End]])),"",(Term2_Day_5[[#This Row],[End]]-Term2_Day_5[[#This Row],[Start]])*1440)</f>
        <v/>
      </c>
      <c r="AH35" s="105" t="str">
        <f>IF(ISBLANK(Term2_Day_5[[#This Row],[Activity]]),"",IF(_xlfn.XLOOKUP(Term2_Day_5[[#This Row],[Activity]],Types_of_Activity[Type of Activity],Types_of_Activity[Classification])=1,Term2_Day_5[[#This Row],[Elapsed]],0))</f>
        <v/>
      </c>
      <c r="AI35" s="105" t="str">
        <f>IF(ISBLANK(Term2_Day_5[[#This Row],[Activity]]),"",IF(_xlfn.XLOOKUP(Term2_Day_5[[#This Row],[Activity]],Types_of_Activity[Type of Activity],Types_of_Activity[Classification])=2,Term2_Day_5[[#This Row],[Elapsed]],0))</f>
        <v/>
      </c>
      <c r="AJ35" s="106"/>
      <c r="AK35" s="135"/>
      <c r="AL35" s="135"/>
      <c r="AM35" s="102"/>
      <c r="AN35" s="105" t="str">
        <f>IF(OR(ISBLANK(Term2_Day_6[[#This Row],[Start]]),ISBLANK(Term2_Day_6[[#This Row],[End]])),"",(Term2_Day_6[[#This Row],[End]]-Term2_Day_6[[#This Row],[Start]])*1440)</f>
        <v/>
      </c>
      <c r="AO35" s="105" t="str">
        <f>IF(ISBLANK(Term2_Day_6[[#This Row],[Activity]]),"",IF(_xlfn.XLOOKUP(Term2_Day_6[[#This Row],[Activity]],Types_of_Activity[Type of Activity],Types_of_Activity[Classification])=1,Term2_Day_6[[#This Row],[Elapsed]],0))</f>
        <v/>
      </c>
      <c r="AP35" s="105" t="str">
        <f>IF(ISBLANK(Term2_Day_6[[#This Row],[Activity]]),"",IF(_xlfn.XLOOKUP(Term2_Day_6[[#This Row],[Activity]],Types_of_Activity[Type of Activity],Types_of_Activity[Classification])=2,Term2_Day_6[[#This Row],[Elapsed]],0))</f>
        <v/>
      </c>
      <c r="AQ35" s="106"/>
      <c r="AR35" s="135"/>
      <c r="AS35" s="135"/>
      <c r="AT35" s="102"/>
      <c r="AU35" s="105" t="str">
        <f>IF(OR(ISBLANK(Term2_Day_7[[#This Row],[Start]]),ISBLANK(Term2_Day_7[[#This Row],[End]])),"",(Term2_Day_7[[#This Row],[End]]-Term2_Day_7[[#This Row],[Start]])*1440)</f>
        <v/>
      </c>
      <c r="AV35" s="105" t="str">
        <f>IF(ISBLANK(Term2_Day_7[[#This Row],[Activity]]),"",IF(_xlfn.XLOOKUP(Term2_Day_7[[#This Row],[Activity]],Types_of_Activity[Type of Activity],Types_of_Activity[Classification])=1,Term2_Day_7[[#This Row],[Elapsed]],0))</f>
        <v/>
      </c>
      <c r="AW35" s="105" t="str">
        <f>IF(ISBLANK(Term2_Day_7[[#This Row],[Activity]]),"",IF(_xlfn.XLOOKUP(Term2_Day_7[[#This Row],[Activity]],Types_of_Activity[Type of Activity],Types_of_Activity[Classification])=2,Term2_Day_7[[#This Row],[Elapsed]],0))</f>
        <v/>
      </c>
      <c r="AX35" s="106"/>
      <c r="AY35" s="135"/>
      <c r="AZ35" s="135"/>
      <c r="BA35" s="102"/>
      <c r="BB35" s="105" t="str">
        <f>IF(OR(ISBLANK(Term2_Day_8[[#This Row],[Start]]),ISBLANK(Term2_Day_8[[#This Row],[End]])),"",(Term2_Day_8[[#This Row],[End]]-Term2_Day_8[[#This Row],[Start]])*1440)</f>
        <v/>
      </c>
      <c r="BC35" s="105" t="str">
        <f>IF(ISBLANK(Term2_Day_8[[#This Row],[Activity]]),"",IF(_xlfn.XLOOKUP(Term2_Day_8[[#This Row],[Activity]],Types_of_Activity[Type of Activity],Types_of_Activity[Classification])=1,Term2_Day_8[[#This Row],[Elapsed]],0))</f>
        <v/>
      </c>
      <c r="BD35" s="105" t="str">
        <f>IF(ISBLANK(Term2_Day_8[[#This Row],[Activity]]),"",IF(_xlfn.XLOOKUP(Term2_Day_8[[#This Row],[Activity]],Types_of_Activity[Type of Activity],Types_of_Activity[Classification])=2,Term2_Day_8[[#This Row],[Elapsed]],0))</f>
        <v/>
      </c>
      <c r="BE35" s="106"/>
      <c r="BF35" s="135"/>
      <c r="BG35" s="135"/>
      <c r="BH35" s="102"/>
      <c r="BI35" s="105" t="str">
        <f>IF(OR(ISBLANK(Term2_Day_9[[#This Row],[Start]]),ISBLANK(Term2_Day_9[[#This Row],[End]])),"",(Term2_Day_9[[#This Row],[End]]-Term2_Day_9[[#This Row],[Start]])*1440)</f>
        <v/>
      </c>
      <c r="BJ35" s="105" t="str">
        <f>IF(ISBLANK(Term2_Day_9[[#This Row],[Activity]]),"",IF(_xlfn.XLOOKUP(Term2_Day_9[[#This Row],[Activity]],Types_of_Activity[Type of Activity],Types_of_Activity[Classification])=1,Term2_Day_9[[#This Row],[Elapsed]],0))</f>
        <v/>
      </c>
      <c r="BK35" s="105" t="str">
        <f>IF(ISBLANK(Term2_Day_9[[#This Row],[Activity]]),"",IF(_xlfn.XLOOKUP(Term2_Day_9[[#This Row],[Activity]],Types_of_Activity[Type of Activity],Types_of_Activity[Classification])=2,Term2_Day_9[[#This Row],[Elapsed]],0))</f>
        <v/>
      </c>
      <c r="BL35" s="106"/>
      <c r="BM35" s="135"/>
      <c r="BN35" s="135"/>
      <c r="BO35" s="102"/>
      <c r="BP35" s="105" t="str">
        <f>IF(OR(ISBLANK(Term2_Day_10[[#This Row],[Start]]),ISBLANK(Term2_Day_10[[#This Row],[End]])),"",(Term2_Day_10[[#This Row],[End]]-Term2_Day_10[[#This Row],[Start]])*1440)</f>
        <v/>
      </c>
      <c r="BQ35" s="105" t="str">
        <f>IF(ISBLANK(Term2_Day_10[[#This Row],[Activity]]),"",IF(_xlfn.XLOOKUP(Term2_Day_10[[#This Row],[Activity]],Types_of_Activity[Type of Activity],Types_of_Activity[Classification])=1,Term2_Day_10[[#This Row],[Elapsed]],0))</f>
        <v/>
      </c>
      <c r="BR35" s="105" t="str">
        <f>IF(ISBLANK(Term2_Day_10[[#This Row],[Activity]]),"",IF(_xlfn.XLOOKUP(Term2_Day_10[[#This Row],[Activity]],Types_of_Activity[Type of Activity],Types_of_Activity[Classification])=2,Term2_Day_10[[#This Row],[Elapsed]],0))</f>
        <v/>
      </c>
      <c r="BS35" s="106"/>
    </row>
    <row r="36" spans="2:71" x14ac:dyDescent="0.3">
      <c r="B36" s="135"/>
      <c r="C36" s="135"/>
      <c r="D36" s="102"/>
      <c r="E36" s="105" t="str">
        <f>IF(OR(ISBLANK(Term2_Day_1[[#This Row],[Start]]),ISBLANK(Term2_Day_1[[#This Row],[End]])),"",(Term2_Day_1[[#This Row],[End]]-Term2_Day_1[[#This Row],[Start]])*1440)</f>
        <v/>
      </c>
      <c r="F36" s="105" t="str">
        <f>IF(ISBLANK(Term2_Day_1[[#This Row],[Activity]]),"",IF(_xlfn.XLOOKUP(Term2_Day_1[[#This Row],[Activity]],Types_of_Activity[Type of Activity],Types_of_Activity[Classification])=1,Term2_Day_1[[#This Row],[Elapsed]],0))</f>
        <v/>
      </c>
      <c r="G36" s="105" t="str">
        <f>IF(ISBLANK(Term2_Day_1[[#This Row],[Activity]]),"",IF(_xlfn.XLOOKUP(Term2_Day_1[[#This Row],[Activity]],Types_of_Activity[Type of Activity],Types_of_Activity[Classification])=2,Term2_Day_1[[#This Row],[Elapsed]],0))</f>
        <v/>
      </c>
      <c r="I36" s="135"/>
      <c r="J36" s="135"/>
      <c r="K36" s="102"/>
      <c r="L36" s="105" t="str">
        <f>IF(OR(ISBLANK(Term2_Day_2[[#This Row],[Start]]),ISBLANK(Term2_Day_2[[#This Row],[End]])),"",(Term2_Day_2[[#This Row],[End]]-Term2_Day_2[[#This Row],[Start]])*1440)</f>
        <v/>
      </c>
      <c r="M36" s="105" t="str">
        <f>IF(ISBLANK(Term2_Day_2[[#This Row],[Activity]]),"",IF(_xlfn.XLOOKUP(Term2_Day_2[[#This Row],[Activity]],Types_of_Activity[Type of Activity],Types_of_Activity[Classification])=1,Term2_Day_2[[#This Row],[Elapsed]],0))</f>
        <v/>
      </c>
      <c r="N36" s="105" t="str">
        <f>IF(ISBLANK(Term2_Day_2[[#This Row],[Activity]]),"",IF(_xlfn.XLOOKUP(Term2_Day_2[[#This Row],[Activity]],Types_of_Activity[Type of Activity],Types_of_Activity[Classification])=2,Term2_Day_2[[#This Row],[Elapsed]],0))</f>
        <v/>
      </c>
      <c r="P36" s="135"/>
      <c r="Q36" s="135"/>
      <c r="R36" s="102"/>
      <c r="S36" s="105" t="str">
        <f>IF(OR(ISBLANK(Term2_Day_3[[#This Row],[Start]]),ISBLANK(Term2_Day_3[[#This Row],[End]])),"",(Term2_Day_3[[#This Row],[End]]-Term2_Day_3[[#This Row],[Start]])*1440)</f>
        <v/>
      </c>
      <c r="T36" s="105" t="str">
        <f>IF(ISBLANK(Term2_Day_3[[#This Row],[Activity]]),"",IF(_xlfn.XLOOKUP(Term2_Day_3[[#This Row],[Activity]],Types_of_Activity[Type of Activity],Types_of_Activity[Classification])=1,Term2_Day_3[[#This Row],[Elapsed]],0))</f>
        <v/>
      </c>
      <c r="U36" s="105" t="str">
        <f>IF(ISBLANK(Term2_Day_3[[#This Row],[Activity]]),"",IF(_xlfn.XLOOKUP(Term2_Day_3[[#This Row],[Activity]],Types_of_Activity[Type of Activity],Types_of_Activity[Classification])=2,Term2_Day_3[[#This Row],[Elapsed]],0))</f>
        <v/>
      </c>
      <c r="W36" s="135"/>
      <c r="X36" s="135"/>
      <c r="Y36" s="102"/>
      <c r="Z36" s="105" t="str">
        <f>IF(OR(ISBLANK(Term2_Day_4[[#This Row],[Start]]),ISBLANK(Term2_Day_4[[#This Row],[End]])),"",(Term2_Day_4[[#This Row],[End]]-Term2_Day_4[[#This Row],[Start]])*1440)</f>
        <v/>
      </c>
      <c r="AA36" s="105" t="str">
        <f>IF(ISBLANK(Term2_Day_4[[#This Row],[Activity]]),"",IF(_xlfn.XLOOKUP(Term2_Day_4[[#This Row],[Activity]],Types_of_Activity[Type of Activity],Types_of_Activity[Classification])=1,Term2_Day_4[[#This Row],[Elapsed]],0))</f>
        <v/>
      </c>
      <c r="AB36" s="105" t="str">
        <f>IF(ISBLANK(Term2_Day_4[[#This Row],[Activity]]),"",IF(_xlfn.XLOOKUP(Term2_Day_4[[#This Row],[Activity]],Types_of_Activity[Type of Activity],Types_of_Activity[Classification])=2,Term2_Day_4[[#This Row],[Elapsed]],0))</f>
        <v/>
      </c>
      <c r="AD36" s="135"/>
      <c r="AE36" s="135"/>
      <c r="AF36" s="102"/>
      <c r="AG36" s="105" t="str">
        <f>IF(OR(ISBLANK(Term2_Day_5[[#This Row],[Start]]),ISBLANK(Term2_Day_5[[#This Row],[End]])),"",(Term2_Day_5[[#This Row],[End]]-Term2_Day_5[[#This Row],[Start]])*1440)</f>
        <v/>
      </c>
      <c r="AH36" s="105" t="str">
        <f>IF(ISBLANK(Term2_Day_5[[#This Row],[Activity]]),"",IF(_xlfn.XLOOKUP(Term2_Day_5[[#This Row],[Activity]],Types_of_Activity[Type of Activity],Types_of_Activity[Classification])=1,Term2_Day_5[[#This Row],[Elapsed]],0))</f>
        <v/>
      </c>
      <c r="AI36" s="105" t="str">
        <f>IF(ISBLANK(Term2_Day_5[[#This Row],[Activity]]),"",IF(_xlfn.XLOOKUP(Term2_Day_5[[#This Row],[Activity]],Types_of_Activity[Type of Activity],Types_of_Activity[Classification])=2,Term2_Day_5[[#This Row],[Elapsed]],0))</f>
        <v/>
      </c>
      <c r="AJ36" s="106"/>
      <c r="AK36" s="135"/>
      <c r="AL36" s="135"/>
      <c r="AM36" s="102"/>
      <c r="AN36" s="105" t="str">
        <f>IF(OR(ISBLANK(Term2_Day_6[[#This Row],[Start]]),ISBLANK(Term2_Day_6[[#This Row],[End]])),"",(Term2_Day_6[[#This Row],[End]]-Term2_Day_6[[#This Row],[Start]])*1440)</f>
        <v/>
      </c>
      <c r="AO36" s="105" t="str">
        <f>IF(ISBLANK(Term2_Day_6[[#This Row],[Activity]]),"",IF(_xlfn.XLOOKUP(Term2_Day_6[[#This Row],[Activity]],Types_of_Activity[Type of Activity],Types_of_Activity[Classification])=1,Term2_Day_6[[#This Row],[Elapsed]],0))</f>
        <v/>
      </c>
      <c r="AP36" s="105" t="str">
        <f>IF(ISBLANK(Term2_Day_6[[#This Row],[Activity]]),"",IF(_xlfn.XLOOKUP(Term2_Day_6[[#This Row],[Activity]],Types_of_Activity[Type of Activity],Types_of_Activity[Classification])=2,Term2_Day_6[[#This Row],[Elapsed]],0))</f>
        <v/>
      </c>
      <c r="AQ36" s="106"/>
      <c r="AR36" s="135"/>
      <c r="AS36" s="135"/>
      <c r="AT36" s="102"/>
      <c r="AU36" s="105" t="str">
        <f>IF(OR(ISBLANK(Term2_Day_7[[#This Row],[Start]]),ISBLANK(Term2_Day_7[[#This Row],[End]])),"",(Term2_Day_7[[#This Row],[End]]-Term2_Day_7[[#This Row],[Start]])*1440)</f>
        <v/>
      </c>
      <c r="AV36" s="105" t="str">
        <f>IF(ISBLANK(Term2_Day_7[[#This Row],[Activity]]),"",IF(_xlfn.XLOOKUP(Term2_Day_7[[#This Row],[Activity]],Types_of_Activity[Type of Activity],Types_of_Activity[Classification])=1,Term2_Day_7[[#This Row],[Elapsed]],0))</f>
        <v/>
      </c>
      <c r="AW36" s="105" t="str">
        <f>IF(ISBLANK(Term2_Day_7[[#This Row],[Activity]]),"",IF(_xlfn.XLOOKUP(Term2_Day_7[[#This Row],[Activity]],Types_of_Activity[Type of Activity],Types_of_Activity[Classification])=2,Term2_Day_7[[#This Row],[Elapsed]],0))</f>
        <v/>
      </c>
      <c r="AX36" s="106"/>
      <c r="AY36" s="135"/>
      <c r="AZ36" s="135"/>
      <c r="BA36" s="102"/>
      <c r="BB36" s="105" t="str">
        <f>IF(OR(ISBLANK(Term2_Day_8[[#This Row],[Start]]),ISBLANK(Term2_Day_8[[#This Row],[End]])),"",(Term2_Day_8[[#This Row],[End]]-Term2_Day_8[[#This Row],[Start]])*1440)</f>
        <v/>
      </c>
      <c r="BC36" s="105" t="str">
        <f>IF(ISBLANK(Term2_Day_8[[#This Row],[Activity]]),"",IF(_xlfn.XLOOKUP(Term2_Day_8[[#This Row],[Activity]],Types_of_Activity[Type of Activity],Types_of_Activity[Classification])=1,Term2_Day_8[[#This Row],[Elapsed]],0))</f>
        <v/>
      </c>
      <c r="BD36" s="105" t="str">
        <f>IF(ISBLANK(Term2_Day_8[[#This Row],[Activity]]),"",IF(_xlfn.XLOOKUP(Term2_Day_8[[#This Row],[Activity]],Types_of_Activity[Type of Activity],Types_of_Activity[Classification])=2,Term2_Day_8[[#This Row],[Elapsed]],0))</f>
        <v/>
      </c>
      <c r="BE36" s="106"/>
      <c r="BF36" s="135"/>
      <c r="BG36" s="135"/>
      <c r="BH36" s="102"/>
      <c r="BI36" s="105" t="str">
        <f>IF(OR(ISBLANK(Term2_Day_9[[#This Row],[Start]]),ISBLANK(Term2_Day_9[[#This Row],[End]])),"",(Term2_Day_9[[#This Row],[End]]-Term2_Day_9[[#This Row],[Start]])*1440)</f>
        <v/>
      </c>
      <c r="BJ36" s="105" t="str">
        <f>IF(ISBLANK(Term2_Day_9[[#This Row],[Activity]]),"",IF(_xlfn.XLOOKUP(Term2_Day_9[[#This Row],[Activity]],Types_of_Activity[Type of Activity],Types_of_Activity[Classification])=1,Term2_Day_9[[#This Row],[Elapsed]],0))</f>
        <v/>
      </c>
      <c r="BK36" s="105" t="str">
        <f>IF(ISBLANK(Term2_Day_9[[#This Row],[Activity]]),"",IF(_xlfn.XLOOKUP(Term2_Day_9[[#This Row],[Activity]],Types_of_Activity[Type of Activity],Types_of_Activity[Classification])=2,Term2_Day_9[[#This Row],[Elapsed]],0))</f>
        <v/>
      </c>
      <c r="BL36" s="106"/>
      <c r="BM36" s="135"/>
      <c r="BN36" s="135"/>
      <c r="BO36" s="102"/>
      <c r="BP36" s="105" t="str">
        <f>IF(OR(ISBLANK(Term2_Day_10[[#This Row],[Start]]),ISBLANK(Term2_Day_10[[#This Row],[End]])),"",(Term2_Day_10[[#This Row],[End]]-Term2_Day_10[[#This Row],[Start]])*1440)</f>
        <v/>
      </c>
      <c r="BQ36" s="105" t="str">
        <f>IF(ISBLANK(Term2_Day_10[[#This Row],[Activity]]),"",IF(_xlfn.XLOOKUP(Term2_Day_10[[#This Row],[Activity]],Types_of_Activity[Type of Activity],Types_of_Activity[Classification])=1,Term2_Day_10[[#This Row],[Elapsed]],0))</f>
        <v/>
      </c>
      <c r="BR36" s="105" t="str">
        <f>IF(ISBLANK(Term2_Day_10[[#This Row],[Activity]]),"",IF(_xlfn.XLOOKUP(Term2_Day_10[[#This Row],[Activity]],Types_of_Activity[Type of Activity],Types_of_Activity[Classification])=2,Term2_Day_10[[#This Row],[Elapsed]],0))</f>
        <v/>
      </c>
      <c r="BS36" s="106"/>
    </row>
    <row r="37" spans="2:71" x14ac:dyDescent="0.3">
      <c r="B37" s="135"/>
      <c r="C37" s="135"/>
      <c r="D37" s="102"/>
      <c r="E37" s="105" t="str">
        <f>IF(OR(ISBLANK(Term2_Day_1[[#This Row],[Start]]),ISBLANK(Term2_Day_1[[#This Row],[End]])),"",(Term2_Day_1[[#This Row],[End]]-Term2_Day_1[[#This Row],[Start]])*1440)</f>
        <v/>
      </c>
      <c r="F37" s="105" t="str">
        <f>IF(ISBLANK(Term2_Day_1[[#This Row],[Activity]]),"",IF(_xlfn.XLOOKUP(Term2_Day_1[[#This Row],[Activity]],Types_of_Activity[Type of Activity],Types_of_Activity[Classification])=1,Term2_Day_1[[#This Row],[Elapsed]],0))</f>
        <v/>
      </c>
      <c r="G37" s="105" t="str">
        <f>IF(ISBLANK(Term2_Day_1[[#This Row],[Activity]]),"",IF(_xlfn.XLOOKUP(Term2_Day_1[[#This Row],[Activity]],Types_of_Activity[Type of Activity],Types_of_Activity[Classification])=2,Term2_Day_1[[#This Row],[Elapsed]],0))</f>
        <v/>
      </c>
      <c r="I37" s="135"/>
      <c r="J37" s="135"/>
      <c r="K37" s="102"/>
      <c r="L37" s="105" t="str">
        <f>IF(OR(ISBLANK(Term2_Day_2[[#This Row],[Start]]),ISBLANK(Term2_Day_2[[#This Row],[End]])),"",(Term2_Day_2[[#This Row],[End]]-Term2_Day_2[[#This Row],[Start]])*1440)</f>
        <v/>
      </c>
      <c r="M37" s="105" t="str">
        <f>IF(ISBLANK(Term2_Day_2[[#This Row],[Activity]]),"",IF(_xlfn.XLOOKUP(Term2_Day_2[[#This Row],[Activity]],Types_of_Activity[Type of Activity],Types_of_Activity[Classification])=1,Term2_Day_2[[#This Row],[Elapsed]],0))</f>
        <v/>
      </c>
      <c r="N37" s="105" t="str">
        <f>IF(ISBLANK(Term2_Day_2[[#This Row],[Activity]]),"",IF(_xlfn.XLOOKUP(Term2_Day_2[[#This Row],[Activity]],Types_of_Activity[Type of Activity],Types_of_Activity[Classification])=2,Term2_Day_2[[#This Row],[Elapsed]],0))</f>
        <v/>
      </c>
      <c r="P37" s="135"/>
      <c r="Q37" s="135"/>
      <c r="R37" s="102"/>
      <c r="S37" s="105" t="str">
        <f>IF(OR(ISBLANK(Term2_Day_3[[#This Row],[Start]]),ISBLANK(Term2_Day_3[[#This Row],[End]])),"",(Term2_Day_3[[#This Row],[End]]-Term2_Day_3[[#This Row],[Start]])*1440)</f>
        <v/>
      </c>
      <c r="T37" s="105" t="str">
        <f>IF(ISBLANK(Term2_Day_3[[#This Row],[Activity]]),"",IF(_xlfn.XLOOKUP(Term2_Day_3[[#This Row],[Activity]],Types_of_Activity[Type of Activity],Types_of_Activity[Classification])=1,Term2_Day_3[[#This Row],[Elapsed]],0))</f>
        <v/>
      </c>
      <c r="U37" s="105" t="str">
        <f>IF(ISBLANK(Term2_Day_3[[#This Row],[Activity]]),"",IF(_xlfn.XLOOKUP(Term2_Day_3[[#This Row],[Activity]],Types_of_Activity[Type of Activity],Types_of_Activity[Classification])=2,Term2_Day_3[[#This Row],[Elapsed]],0))</f>
        <v/>
      </c>
      <c r="W37" s="135"/>
      <c r="X37" s="135"/>
      <c r="Y37" s="102"/>
      <c r="Z37" s="105" t="str">
        <f>IF(OR(ISBLANK(Term2_Day_4[[#This Row],[Start]]),ISBLANK(Term2_Day_4[[#This Row],[End]])),"",(Term2_Day_4[[#This Row],[End]]-Term2_Day_4[[#This Row],[Start]])*1440)</f>
        <v/>
      </c>
      <c r="AA37" s="105" t="str">
        <f>IF(ISBLANK(Term2_Day_4[[#This Row],[Activity]]),"",IF(_xlfn.XLOOKUP(Term2_Day_4[[#This Row],[Activity]],Types_of_Activity[Type of Activity],Types_of_Activity[Classification])=1,Term2_Day_4[[#This Row],[Elapsed]],0))</f>
        <v/>
      </c>
      <c r="AB37" s="105" t="str">
        <f>IF(ISBLANK(Term2_Day_4[[#This Row],[Activity]]),"",IF(_xlfn.XLOOKUP(Term2_Day_4[[#This Row],[Activity]],Types_of_Activity[Type of Activity],Types_of_Activity[Classification])=2,Term2_Day_4[[#This Row],[Elapsed]],0))</f>
        <v/>
      </c>
      <c r="AD37" s="135"/>
      <c r="AE37" s="135"/>
      <c r="AF37" s="102"/>
      <c r="AG37" s="105" t="str">
        <f>IF(OR(ISBLANK(Term2_Day_5[[#This Row],[Start]]),ISBLANK(Term2_Day_5[[#This Row],[End]])),"",(Term2_Day_5[[#This Row],[End]]-Term2_Day_5[[#This Row],[Start]])*1440)</f>
        <v/>
      </c>
      <c r="AH37" s="105" t="str">
        <f>IF(ISBLANK(Term2_Day_5[[#This Row],[Activity]]),"",IF(_xlfn.XLOOKUP(Term2_Day_5[[#This Row],[Activity]],Types_of_Activity[Type of Activity],Types_of_Activity[Classification])=1,Term2_Day_5[[#This Row],[Elapsed]],0))</f>
        <v/>
      </c>
      <c r="AI37" s="105" t="str">
        <f>IF(ISBLANK(Term2_Day_5[[#This Row],[Activity]]),"",IF(_xlfn.XLOOKUP(Term2_Day_5[[#This Row],[Activity]],Types_of_Activity[Type of Activity],Types_of_Activity[Classification])=2,Term2_Day_5[[#This Row],[Elapsed]],0))</f>
        <v/>
      </c>
      <c r="AJ37" s="106"/>
      <c r="AK37" s="135"/>
      <c r="AL37" s="135"/>
      <c r="AM37" s="102"/>
      <c r="AN37" s="105" t="str">
        <f>IF(OR(ISBLANK(Term2_Day_6[[#This Row],[Start]]),ISBLANK(Term2_Day_6[[#This Row],[End]])),"",(Term2_Day_6[[#This Row],[End]]-Term2_Day_6[[#This Row],[Start]])*1440)</f>
        <v/>
      </c>
      <c r="AO37" s="105" t="str">
        <f>IF(ISBLANK(Term2_Day_6[[#This Row],[Activity]]),"",IF(_xlfn.XLOOKUP(Term2_Day_6[[#This Row],[Activity]],Types_of_Activity[Type of Activity],Types_of_Activity[Classification])=1,Term2_Day_6[[#This Row],[Elapsed]],0))</f>
        <v/>
      </c>
      <c r="AP37" s="105" t="str">
        <f>IF(ISBLANK(Term2_Day_6[[#This Row],[Activity]]),"",IF(_xlfn.XLOOKUP(Term2_Day_6[[#This Row],[Activity]],Types_of_Activity[Type of Activity],Types_of_Activity[Classification])=2,Term2_Day_6[[#This Row],[Elapsed]],0))</f>
        <v/>
      </c>
      <c r="AQ37" s="106"/>
      <c r="AR37" s="135"/>
      <c r="AS37" s="135"/>
      <c r="AT37" s="102"/>
      <c r="AU37" s="105" t="str">
        <f>IF(OR(ISBLANK(Term2_Day_7[[#This Row],[Start]]),ISBLANK(Term2_Day_7[[#This Row],[End]])),"",(Term2_Day_7[[#This Row],[End]]-Term2_Day_7[[#This Row],[Start]])*1440)</f>
        <v/>
      </c>
      <c r="AV37" s="105" t="str">
        <f>IF(ISBLANK(Term2_Day_7[[#This Row],[Activity]]),"",IF(_xlfn.XLOOKUP(Term2_Day_7[[#This Row],[Activity]],Types_of_Activity[Type of Activity],Types_of_Activity[Classification])=1,Term2_Day_7[[#This Row],[Elapsed]],0))</f>
        <v/>
      </c>
      <c r="AW37" s="105" t="str">
        <f>IF(ISBLANK(Term2_Day_7[[#This Row],[Activity]]),"",IF(_xlfn.XLOOKUP(Term2_Day_7[[#This Row],[Activity]],Types_of_Activity[Type of Activity],Types_of_Activity[Classification])=2,Term2_Day_7[[#This Row],[Elapsed]],0))</f>
        <v/>
      </c>
      <c r="AX37" s="106"/>
      <c r="AY37" s="135"/>
      <c r="AZ37" s="135"/>
      <c r="BA37" s="102"/>
      <c r="BB37" s="105" t="str">
        <f>IF(OR(ISBLANK(Term2_Day_8[[#This Row],[Start]]),ISBLANK(Term2_Day_8[[#This Row],[End]])),"",(Term2_Day_8[[#This Row],[End]]-Term2_Day_8[[#This Row],[Start]])*1440)</f>
        <v/>
      </c>
      <c r="BC37" s="105" t="str">
        <f>IF(ISBLANK(Term2_Day_8[[#This Row],[Activity]]),"",IF(_xlfn.XLOOKUP(Term2_Day_8[[#This Row],[Activity]],Types_of_Activity[Type of Activity],Types_of_Activity[Classification])=1,Term2_Day_8[[#This Row],[Elapsed]],0))</f>
        <v/>
      </c>
      <c r="BD37" s="105" t="str">
        <f>IF(ISBLANK(Term2_Day_8[[#This Row],[Activity]]),"",IF(_xlfn.XLOOKUP(Term2_Day_8[[#This Row],[Activity]],Types_of_Activity[Type of Activity],Types_of_Activity[Classification])=2,Term2_Day_8[[#This Row],[Elapsed]],0))</f>
        <v/>
      </c>
      <c r="BE37" s="106"/>
      <c r="BF37" s="135"/>
      <c r="BG37" s="135"/>
      <c r="BH37" s="102"/>
      <c r="BI37" s="105" t="str">
        <f>IF(OR(ISBLANK(Term2_Day_9[[#This Row],[Start]]),ISBLANK(Term2_Day_9[[#This Row],[End]])),"",(Term2_Day_9[[#This Row],[End]]-Term2_Day_9[[#This Row],[Start]])*1440)</f>
        <v/>
      </c>
      <c r="BJ37" s="105" t="str">
        <f>IF(ISBLANK(Term2_Day_9[[#This Row],[Activity]]),"",IF(_xlfn.XLOOKUP(Term2_Day_9[[#This Row],[Activity]],Types_of_Activity[Type of Activity],Types_of_Activity[Classification])=1,Term2_Day_9[[#This Row],[Elapsed]],0))</f>
        <v/>
      </c>
      <c r="BK37" s="105" t="str">
        <f>IF(ISBLANK(Term2_Day_9[[#This Row],[Activity]]),"",IF(_xlfn.XLOOKUP(Term2_Day_9[[#This Row],[Activity]],Types_of_Activity[Type of Activity],Types_of_Activity[Classification])=2,Term2_Day_9[[#This Row],[Elapsed]],0))</f>
        <v/>
      </c>
      <c r="BL37" s="106"/>
      <c r="BM37" s="135"/>
      <c r="BN37" s="135"/>
      <c r="BO37" s="102"/>
      <c r="BP37" s="105" t="str">
        <f>IF(OR(ISBLANK(Term2_Day_10[[#This Row],[Start]]),ISBLANK(Term2_Day_10[[#This Row],[End]])),"",(Term2_Day_10[[#This Row],[End]]-Term2_Day_10[[#This Row],[Start]])*1440)</f>
        <v/>
      </c>
      <c r="BQ37" s="105" t="str">
        <f>IF(ISBLANK(Term2_Day_10[[#This Row],[Activity]]),"",IF(_xlfn.XLOOKUP(Term2_Day_10[[#This Row],[Activity]],Types_of_Activity[Type of Activity],Types_of_Activity[Classification])=1,Term2_Day_10[[#This Row],[Elapsed]],0))</f>
        <v/>
      </c>
      <c r="BR37" s="105" t="str">
        <f>IF(ISBLANK(Term2_Day_10[[#This Row],[Activity]]),"",IF(_xlfn.XLOOKUP(Term2_Day_10[[#This Row],[Activity]],Types_of_Activity[Type of Activity],Types_of_Activity[Classification])=2,Term2_Day_10[[#This Row],[Elapsed]],0))</f>
        <v/>
      </c>
      <c r="BS37" s="106"/>
    </row>
    <row r="38" spans="2:71" x14ac:dyDescent="0.3">
      <c r="B38" s="135"/>
      <c r="C38" s="135"/>
      <c r="D38" s="102"/>
      <c r="E38" s="105" t="str">
        <f>IF(OR(ISBLANK(Term2_Day_1[[#This Row],[Start]]),ISBLANK(Term2_Day_1[[#This Row],[End]])),"",(Term2_Day_1[[#This Row],[End]]-Term2_Day_1[[#This Row],[Start]])*1440)</f>
        <v/>
      </c>
      <c r="F38" s="105" t="str">
        <f>IF(ISBLANK(Term2_Day_1[[#This Row],[Activity]]),"",IF(_xlfn.XLOOKUP(Term2_Day_1[[#This Row],[Activity]],Types_of_Activity[Type of Activity],Types_of_Activity[Classification])=1,Term2_Day_1[[#This Row],[Elapsed]],0))</f>
        <v/>
      </c>
      <c r="G38" s="105" t="str">
        <f>IF(ISBLANK(Term2_Day_1[[#This Row],[Activity]]),"",IF(_xlfn.XLOOKUP(Term2_Day_1[[#This Row],[Activity]],Types_of_Activity[Type of Activity],Types_of_Activity[Classification])=2,Term2_Day_1[[#This Row],[Elapsed]],0))</f>
        <v/>
      </c>
      <c r="I38" s="135"/>
      <c r="J38" s="135"/>
      <c r="K38" s="102"/>
      <c r="L38" s="105" t="str">
        <f>IF(OR(ISBLANK(Term2_Day_2[[#This Row],[Start]]),ISBLANK(Term2_Day_2[[#This Row],[End]])),"",(Term2_Day_2[[#This Row],[End]]-Term2_Day_2[[#This Row],[Start]])*1440)</f>
        <v/>
      </c>
      <c r="M38" s="105" t="str">
        <f>IF(ISBLANK(Term2_Day_2[[#This Row],[Activity]]),"",IF(_xlfn.XLOOKUP(Term2_Day_2[[#This Row],[Activity]],Types_of_Activity[Type of Activity],Types_of_Activity[Classification])=1,Term2_Day_2[[#This Row],[Elapsed]],0))</f>
        <v/>
      </c>
      <c r="N38" s="105" t="str">
        <f>IF(ISBLANK(Term2_Day_2[[#This Row],[Activity]]),"",IF(_xlfn.XLOOKUP(Term2_Day_2[[#This Row],[Activity]],Types_of_Activity[Type of Activity],Types_of_Activity[Classification])=2,Term2_Day_2[[#This Row],[Elapsed]],0))</f>
        <v/>
      </c>
      <c r="P38" s="135"/>
      <c r="Q38" s="135"/>
      <c r="R38" s="102"/>
      <c r="S38" s="105" t="str">
        <f>IF(OR(ISBLANK(Term2_Day_3[[#This Row],[Start]]),ISBLANK(Term2_Day_3[[#This Row],[End]])),"",(Term2_Day_3[[#This Row],[End]]-Term2_Day_3[[#This Row],[Start]])*1440)</f>
        <v/>
      </c>
      <c r="T38" s="105" t="str">
        <f>IF(ISBLANK(Term2_Day_3[[#This Row],[Activity]]),"",IF(_xlfn.XLOOKUP(Term2_Day_3[[#This Row],[Activity]],Types_of_Activity[Type of Activity],Types_of_Activity[Classification])=1,Term2_Day_3[[#This Row],[Elapsed]],0))</f>
        <v/>
      </c>
      <c r="U38" s="105" t="str">
        <f>IF(ISBLANK(Term2_Day_3[[#This Row],[Activity]]),"",IF(_xlfn.XLOOKUP(Term2_Day_3[[#This Row],[Activity]],Types_of_Activity[Type of Activity],Types_of_Activity[Classification])=2,Term2_Day_3[[#This Row],[Elapsed]],0))</f>
        <v/>
      </c>
      <c r="W38" s="135"/>
      <c r="X38" s="135"/>
      <c r="Y38" s="102"/>
      <c r="Z38" s="105" t="str">
        <f>IF(OR(ISBLANK(Term2_Day_4[[#This Row],[Start]]),ISBLANK(Term2_Day_4[[#This Row],[End]])),"",(Term2_Day_4[[#This Row],[End]]-Term2_Day_4[[#This Row],[Start]])*1440)</f>
        <v/>
      </c>
      <c r="AA38" s="105" t="str">
        <f>IF(ISBLANK(Term2_Day_4[[#This Row],[Activity]]),"",IF(_xlfn.XLOOKUP(Term2_Day_4[[#This Row],[Activity]],Types_of_Activity[Type of Activity],Types_of_Activity[Classification])=1,Term2_Day_4[[#This Row],[Elapsed]],0))</f>
        <v/>
      </c>
      <c r="AB38" s="105" t="str">
        <f>IF(ISBLANK(Term2_Day_4[[#This Row],[Activity]]),"",IF(_xlfn.XLOOKUP(Term2_Day_4[[#This Row],[Activity]],Types_of_Activity[Type of Activity],Types_of_Activity[Classification])=2,Term2_Day_4[[#This Row],[Elapsed]],0))</f>
        <v/>
      </c>
      <c r="AD38" s="135"/>
      <c r="AE38" s="135"/>
      <c r="AF38" s="102"/>
      <c r="AG38" s="105" t="str">
        <f>IF(OR(ISBLANK(Term2_Day_5[[#This Row],[Start]]),ISBLANK(Term2_Day_5[[#This Row],[End]])),"",(Term2_Day_5[[#This Row],[End]]-Term2_Day_5[[#This Row],[Start]])*1440)</f>
        <v/>
      </c>
      <c r="AH38" s="105" t="str">
        <f>IF(ISBLANK(Term2_Day_5[[#This Row],[Activity]]),"",IF(_xlfn.XLOOKUP(Term2_Day_5[[#This Row],[Activity]],Types_of_Activity[Type of Activity],Types_of_Activity[Classification])=1,Term2_Day_5[[#This Row],[Elapsed]],0))</f>
        <v/>
      </c>
      <c r="AI38" s="105" t="str">
        <f>IF(ISBLANK(Term2_Day_5[[#This Row],[Activity]]),"",IF(_xlfn.XLOOKUP(Term2_Day_5[[#This Row],[Activity]],Types_of_Activity[Type of Activity],Types_of_Activity[Classification])=2,Term2_Day_5[[#This Row],[Elapsed]],0))</f>
        <v/>
      </c>
      <c r="AJ38" s="106"/>
      <c r="AK38" s="135"/>
      <c r="AL38" s="135"/>
      <c r="AM38" s="102"/>
      <c r="AN38" s="105" t="str">
        <f>IF(OR(ISBLANK(Term2_Day_6[[#This Row],[Start]]),ISBLANK(Term2_Day_6[[#This Row],[End]])),"",(Term2_Day_6[[#This Row],[End]]-Term2_Day_6[[#This Row],[Start]])*1440)</f>
        <v/>
      </c>
      <c r="AO38" s="105" t="str">
        <f>IF(ISBLANK(Term2_Day_6[[#This Row],[Activity]]),"",IF(_xlfn.XLOOKUP(Term2_Day_6[[#This Row],[Activity]],Types_of_Activity[Type of Activity],Types_of_Activity[Classification])=1,Term2_Day_6[[#This Row],[Elapsed]],0))</f>
        <v/>
      </c>
      <c r="AP38" s="105" t="str">
        <f>IF(ISBLANK(Term2_Day_6[[#This Row],[Activity]]),"",IF(_xlfn.XLOOKUP(Term2_Day_6[[#This Row],[Activity]],Types_of_Activity[Type of Activity],Types_of_Activity[Classification])=2,Term2_Day_6[[#This Row],[Elapsed]],0))</f>
        <v/>
      </c>
      <c r="AQ38" s="106"/>
      <c r="AR38" s="135"/>
      <c r="AS38" s="135"/>
      <c r="AT38" s="102"/>
      <c r="AU38" s="105" t="str">
        <f>IF(OR(ISBLANK(Term2_Day_7[[#This Row],[Start]]),ISBLANK(Term2_Day_7[[#This Row],[End]])),"",(Term2_Day_7[[#This Row],[End]]-Term2_Day_7[[#This Row],[Start]])*1440)</f>
        <v/>
      </c>
      <c r="AV38" s="105" t="str">
        <f>IF(ISBLANK(Term2_Day_7[[#This Row],[Activity]]),"",IF(_xlfn.XLOOKUP(Term2_Day_7[[#This Row],[Activity]],Types_of_Activity[Type of Activity],Types_of_Activity[Classification])=1,Term2_Day_7[[#This Row],[Elapsed]],0))</f>
        <v/>
      </c>
      <c r="AW38" s="105" t="str">
        <f>IF(ISBLANK(Term2_Day_7[[#This Row],[Activity]]),"",IF(_xlfn.XLOOKUP(Term2_Day_7[[#This Row],[Activity]],Types_of_Activity[Type of Activity],Types_of_Activity[Classification])=2,Term2_Day_7[[#This Row],[Elapsed]],0))</f>
        <v/>
      </c>
      <c r="AX38" s="106"/>
      <c r="AY38" s="135"/>
      <c r="AZ38" s="135"/>
      <c r="BA38" s="102"/>
      <c r="BB38" s="105" t="str">
        <f>IF(OR(ISBLANK(Term2_Day_8[[#This Row],[Start]]),ISBLANK(Term2_Day_8[[#This Row],[End]])),"",(Term2_Day_8[[#This Row],[End]]-Term2_Day_8[[#This Row],[Start]])*1440)</f>
        <v/>
      </c>
      <c r="BC38" s="105" t="str">
        <f>IF(ISBLANK(Term2_Day_8[[#This Row],[Activity]]),"",IF(_xlfn.XLOOKUP(Term2_Day_8[[#This Row],[Activity]],Types_of_Activity[Type of Activity],Types_of_Activity[Classification])=1,Term2_Day_8[[#This Row],[Elapsed]],0))</f>
        <v/>
      </c>
      <c r="BD38" s="105" t="str">
        <f>IF(ISBLANK(Term2_Day_8[[#This Row],[Activity]]),"",IF(_xlfn.XLOOKUP(Term2_Day_8[[#This Row],[Activity]],Types_of_Activity[Type of Activity],Types_of_Activity[Classification])=2,Term2_Day_8[[#This Row],[Elapsed]],0))</f>
        <v/>
      </c>
      <c r="BE38" s="106"/>
      <c r="BF38" s="135"/>
      <c r="BG38" s="135"/>
      <c r="BH38" s="102"/>
      <c r="BI38" s="105" t="str">
        <f>IF(OR(ISBLANK(Term2_Day_9[[#This Row],[Start]]),ISBLANK(Term2_Day_9[[#This Row],[End]])),"",(Term2_Day_9[[#This Row],[End]]-Term2_Day_9[[#This Row],[Start]])*1440)</f>
        <v/>
      </c>
      <c r="BJ38" s="105" t="str">
        <f>IF(ISBLANK(Term2_Day_9[[#This Row],[Activity]]),"",IF(_xlfn.XLOOKUP(Term2_Day_9[[#This Row],[Activity]],Types_of_Activity[Type of Activity],Types_of_Activity[Classification])=1,Term2_Day_9[[#This Row],[Elapsed]],0))</f>
        <v/>
      </c>
      <c r="BK38" s="105" t="str">
        <f>IF(ISBLANK(Term2_Day_9[[#This Row],[Activity]]),"",IF(_xlfn.XLOOKUP(Term2_Day_9[[#This Row],[Activity]],Types_of_Activity[Type of Activity],Types_of_Activity[Classification])=2,Term2_Day_9[[#This Row],[Elapsed]],0))</f>
        <v/>
      </c>
      <c r="BL38" s="106"/>
      <c r="BM38" s="135"/>
      <c r="BN38" s="135"/>
      <c r="BO38" s="102"/>
      <c r="BP38" s="105" t="str">
        <f>IF(OR(ISBLANK(Term2_Day_10[[#This Row],[Start]]),ISBLANK(Term2_Day_10[[#This Row],[End]])),"",(Term2_Day_10[[#This Row],[End]]-Term2_Day_10[[#This Row],[Start]])*1440)</f>
        <v/>
      </c>
      <c r="BQ38" s="105" t="str">
        <f>IF(ISBLANK(Term2_Day_10[[#This Row],[Activity]]),"",IF(_xlfn.XLOOKUP(Term2_Day_10[[#This Row],[Activity]],Types_of_Activity[Type of Activity],Types_of_Activity[Classification])=1,Term2_Day_10[[#This Row],[Elapsed]],0))</f>
        <v/>
      </c>
      <c r="BR38" s="105" t="str">
        <f>IF(ISBLANK(Term2_Day_10[[#This Row],[Activity]]),"",IF(_xlfn.XLOOKUP(Term2_Day_10[[#This Row],[Activity]],Types_of_Activity[Type of Activity],Types_of_Activity[Classification])=2,Term2_Day_10[[#This Row],[Elapsed]],0))</f>
        <v/>
      </c>
      <c r="BS38" s="106"/>
    </row>
    <row r="39" spans="2:71" x14ac:dyDescent="0.3">
      <c r="B39" s="135"/>
      <c r="C39" s="135"/>
      <c r="D39" s="102"/>
      <c r="E39" s="105" t="str">
        <f>IF(OR(ISBLANK(Term2_Day_1[[#This Row],[Start]]),ISBLANK(Term2_Day_1[[#This Row],[End]])),"",(Term2_Day_1[[#This Row],[End]]-Term2_Day_1[[#This Row],[Start]])*1440)</f>
        <v/>
      </c>
      <c r="F39" s="105" t="str">
        <f>IF(ISBLANK(Term2_Day_1[[#This Row],[Activity]]),"",IF(_xlfn.XLOOKUP(Term2_Day_1[[#This Row],[Activity]],Types_of_Activity[Type of Activity],Types_of_Activity[Classification])=1,Term2_Day_1[[#This Row],[Elapsed]],0))</f>
        <v/>
      </c>
      <c r="G39" s="105" t="str">
        <f>IF(ISBLANK(Term2_Day_1[[#This Row],[Activity]]),"",IF(_xlfn.XLOOKUP(Term2_Day_1[[#This Row],[Activity]],Types_of_Activity[Type of Activity],Types_of_Activity[Classification])=2,Term2_Day_1[[#This Row],[Elapsed]],0))</f>
        <v/>
      </c>
      <c r="I39" s="135"/>
      <c r="J39" s="135"/>
      <c r="K39" s="102"/>
      <c r="L39" s="105" t="str">
        <f>IF(OR(ISBLANK(Term2_Day_2[[#This Row],[Start]]),ISBLANK(Term2_Day_2[[#This Row],[End]])),"",(Term2_Day_2[[#This Row],[End]]-Term2_Day_2[[#This Row],[Start]])*1440)</f>
        <v/>
      </c>
      <c r="M39" s="105" t="str">
        <f>IF(ISBLANK(Term2_Day_2[[#This Row],[Activity]]),"",IF(_xlfn.XLOOKUP(Term2_Day_2[[#This Row],[Activity]],Types_of_Activity[Type of Activity],Types_of_Activity[Classification])=1,Term2_Day_2[[#This Row],[Elapsed]],0))</f>
        <v/>
      </c>
      <c r="N39" s="105" t="str">
        <f>IF(ISBLANK(Term2_Day_2[[#This Row],[Activity]]),"",IF(_xlfn.XLOOKUP(Term2_Day_2[[#This Row],[Activity]],Types_of_Activity[Type of Activity],Types_of_Activity[Classification])=2,Term2_Day_2[[#This Row],[Elapsed]],0))</f>
        <v/>
      </c>
      <c r="P39" s="135"/>
      <c r="Q39" s="135"/>
      <c r="R39" s="102"/>
      <c r="S39" s="105" t="str">
        <f>IF(OR(ISBLANK(Term2_Day_3[[#This Row],[Start]]),ISBLANK(Term2_Day_3[[#This Row],[End]])),"",(Term2_Day_3[[#This Row],[End]]-Term2_Day_3[[#This Row],[Start]])*1440)</f>
        <v/>
      </c>
      <c r="T39" s="105" t="str">
        <f>IF(ISBLANK(Term2_Day_3[[#This Row],[Activity]]),"",IF(_xlfn.XLOOKUP(Term2_Day_3[[#This Row],[Activity]],Types_of_Activity[Type of Activity],Types_of_Activity[Classification])=1,Term2_Day_3[[#This Row],[Elapsed]],0))</f>
        <v/>
      </c>
      <c r="U39" s="105" t="str">
        <f>IF(ISBLANK(Term2_Day_3[[#This Row],[Activity]]),"",IF(_xlfn.XLOOKUP(Term2_Day_3[[#This Row],[Activity]],Types_of_Activity[Type of Activity],Types_of_Activity[Classification])=2,Term2_Day_3[[#This Row],[Elapsed]],0))</f>
        <v/>
      </c>
      <c r="W39" s="135"/>
      <c r="X39" s="135"/>
      <c r="Y39" s="102"/>
      <c r="Z39" s="105" t="str">
        <f>IF(OR(ISBLANK(Term2_Day_4[[#This Row],[Start]]),ISBLANK(Term2_Day_4[[#This Row],[End]])),"",(Term2_Day_4[[#This Row],[End]]-Term2_Day_4[[#This Row],[Start]])*1440)</f>
        <v/>
      </c>
      <c r="AA39" s="105" t="str">
        <f>IF(ISBLANK(Term2_Day_4[[#This Row],[Activity]]),"",IF(_xlfn.XLOOKUP(Term2_Day_4[[#This Row],[Activity]],Types_of_Activity[Type of Activity],Types_of_Activity[Classification])=1,Term2_Day_4[[#This Row],[Elapsed]],0))</f>
        <v/>
      </c>
      <c r="AB39" s="105" t="str">
        <f>IF(ISBLANK(Term2_Day_4[[#This Row],[Activity]]),"",IF(_xlfn.XLOOKUP(Term2_Day_4[[#This Row],[Activity]],Types_of_Activity[Type of Activity],Types_of_Activity[Classification])=2,Term2_Day_4[[#This Row],[Elapsed]],0))</f>
        <v/>
      </c>
      <c r="AD39" s="135"/>
      <c r="AE39" s="135"/>
      <c r="AF39" s="102"/>
      <c r="AG39" s="105" t="str">
        <f>IF(OR(ISBLANK(Term2_Day_5[[#This Row],[Start]]),ISBLANK(Term2_Day_5[[#This Row],[End]])),"",(Term2_Day_5[[#This Row],[End]]-Term2_Day_5[[#This Row],[Start]])*1440)</f>
        <v/>
      </c>
      <c r="AH39" s="105" t="str">
        <f>IF(ISBLANK(Term2_Day_5[[#This Row],[Activity]]),"",IF(_xlfn.XLOOKUP(Term2_Day_5[[#This Row],[Activity]],Types_of_Activity[Type of Activity],Types_of_Activity[Classification])=1,Term2_Day_5[[#This Row],[Elapsed]],0))</f>
        <v/>
      </c>
      <c r="AI39" s="105" t="str">
        <f>IF(ISBLANK(Term2_Day_5[[#This Row],[Activity]]),"",IF(_xlfn.XLOOKUP(Term2_Day_5[[#This Row],[Activity]],Types_of_Activity[Type of Activity],Types_of_Activity[Classification])=2,Term2_Day_5[[#This Row],[Elapsed]],0))</f>
        <v/>
      </c>
      <c r="AJ39" s="106"/>
      <c r="AK39" s="135"/>
      <c r="AL39" s="135"/>
      <c r="AM39" s="102"/>
      <c r="AN39" s="105" t="str">
        <f>IF(OR(ISBLANK(Term2_Day_6[[#This Row],[Start]]),ISBLANK(Term2_Day_6[[#This Row],[End]])),"",(Term2_Day_6[[#This Row],[End]]-Term2_Day_6[[#This Row],[Start]])*1440)</f>
        <v/>
      </c>
      <c r="AO39" s="105" t="str">
        <f>IF(ISBLANK(Term2_Day_6[[#This Row],[Activity]]),"",IF(_xlfn.XLOOKUP(Term2_Day_6[[#This Row],[Activity]],Types_of_Activity[Type of Activity],Types_of_Activity[Classification])=1,Term2_Day_6[[#This Row],[Elapsed]],0))</f>
        <v/>
      </c>
      <c r="AP39" s="105" t="str">
        <f>IF(ISBLANK(Term2_Day_6[[#This Row],[Activity]]),"",IF(_xlfn.XLOOKUP(Term2_Day_6[[#This Row],[Activity]],Types_of_Activity[Type of Activity],Types_of_Activity[Classification])=2,Term2_Day_6[[#This Row],[Elapsed]],0))</f>
        <v/>
      </c>
      <c r="AQ39" s="106"/>
      <c r="AR39" s="135"/>
      <c r="AS39" s="135"/>
      <c r="AT39" s="102"/>
      <c r="AU39" s="105" t="str">
        <f>IF(OR(ISBLANK(Term2_Day_7[[#This Row],[Start]]),ISBLANK(Term2_Day_7[[#This Row],[End]])),"",(Term2_Day_7[[#This Row],[End]]-Term2_Day_7[[#This Row],[Start]])*1440)</f>
        <v/>
      </c>
      <c r="AV39" s="105" t="str">
        <f>IF(ISBLANK(Term2_Day_7[[#This Row],[Activity]]),"",IF(_xlfn.XLOOKUP(Term2_Day_7[[#This Row],[Activity]],Types_of_Activity[Type of Activity],Types_of_Activity[Classification])=1,Term2_Day_7[[#This Row],[Elapsed]],0))</f>
        <v/>
      </c>
      <c r="AW39" s="105" t="str">
        <f>IF(ISBLANK(Term2_Day_7[[#This Row],[Activity]]),"",IF(_xlfn.XLOOKUP(Term2_Day_7[[#This Row],[Activity]],Types_of_Activity[Type of Activity],Types_of_Activity[Classification])=2,Term2_Day_7[[#This Row],[Elapsed]],0))</f>
        <v/>
      </c>
      <c r="AX39" s="106"/>
      <c r="AY39" s="135"/>
      <c r="AZ39" s="135"/>
      <c r="BA39" s="102"/>
      <c r="BB39" s="105" t="str">
        <f>IF(OR(ISBLANK(Term2_Day_8[[#This Row],[Start]]),ISBLANK(Term2_Day_8[[#This Row],[End]])),"",(Term2_Day_8[[#This Row],[End]]-Term2_Day_8[[#This Row],[Start]])*1440)</f>
        <v/>
      </c>
      <c r="BC39" s="105" t="str">
        <f>IF(ISBLANK(Term2_Day_8[[#This Row],[Activity]]),"",IF(_xlfn.XLOOKUP(Term2_Day_8[[#This Row],[Activity]],Types_of_Activity[Type of Activity],Types_of_Activity[Classification])=1,Term2_Day_8[[#This Row],[Elapsed]],0))</f>
        <v/>
      </c>
      <c r="BD39" s="105" t="str">
        <f>IF(ISBLANK(Term2_Day_8[[#This Row],[Activity]]),"",IF(_xlfn.XLOOKUP(Term2_Day_8[[#This Row],[Activity]],Types_of_Activity[Type of Activity],Types_of_Activity[Classification])=2,Term2_Day_8[[#This Row],[Elapsed]],0))</f>
        <v/>
      </c>
      <c r="BE39" s="106"/>
      <c r="BF39" s="135"/>
      <c r="BG39" s="135"/>
      <c r="BH39" s="102"/>
      <c r="BI39" s="105" t="str">
        <f>IF(OR(ISBLANK(Term2_Day_9[[#This Row],[Start]]),ISBLANK(Term2_Day_9[[#This Row],[End]])),"",(Term2_Day_9[[#This Row],[End]]-Term2_Day_9[[#This Row],[Start]])*1440)</f>
        <v/>
      </c>
      <c r="BJ39" s="105" t="str">
        <f>IF(ISBLANK(Term2_Day_9[[#This Row],[Activity]]),"",IF(_xlfn.XLOOKUP(Term2_Day_9[[#This Row],[Activity]],Types_of_Activity[Type of Activity],Types_of_Activity[Classification])=1,Term2_Day_9[[#This Row],[Elapsed]],0))</f>
        <v/>
      </c>
      <c r="BK39" s="105" t="str">
        <f>IF(ISBLANK(Term2_Day_9[[#This Row],[Activity]]),"",IF(_xlfn.XLOOKUP(Term2_Day_9[[#This Row],[Activity]],Types_of_Activity[Type of Activity],Types_of_Activity[Classification])=2,Term2_Day_9[[#This Row],[Elapsed]],0))</f>
        <v/>
      </c>
      <c r="BL39" s="106"/>
      <c r="BM39" s="135"/>
      <c r="BN39" s="135"/>
      <c r="BO39" s="102"/>
      <c r="BP39" s="105" t="str">
        <f>IF(OR(ISBLANK(Term2_Day_10[[#This Row],[Start]]),ISBLANK(Term2_Day_10[[#This Row],[End]])),"",(Term2_Day_10[[#This Row],[End]]-Term2_Day_10[[#This Row],[Start]])*1440)</f>
        <v/>
      </c>
      <c r="BQ39" s="105" t="str">
        <f>IF(ISBLANK(Term2_Day_10[[#This Row],[Activity]]),"",IF(_xlfn.XLOOKUP(Term2_Day_10[[#This Row],[Activity]],Types_of_Activity[Type of Activity],Types_of_Activity[Classification])=1,Term2_Day_10[[#This Row],[Elapsed]],0))</f>
        <v/>
      </c>
      <c r="BR39" s="105" t="str">
        <f>IF(ISBLANK(Term2_Day_10[[#This Row],[Activity]]),"",IF(_xlfn.XLOOKUP(Term2_Day_10[[#This Row],[Activity]],Types_of_Activity[Type of Activity],Types_of_Activity[Classification])=2,Term2_Day_10[[#This Row],[Elapsed]],0))</f>
        <v/>
      </c>
      <c r="BS39" s="106"/>
    </row>
    <row r="40" spans="2:71" x14ac:dyDescent="0.3">
      <c r="B40" s="135"/>
      <c r="C40" s="135"/>
      <c r="D40" s="102"/>
      <c r="E40" s="105" t="str">
        <f>IF(OR(ISBLANK(Term2_Day_1[[#This Row],[Start]]),ISBLANK(Term2_Day_1[[#This Row],[End]])),"",(Term2_Day_1[[#This Row],[End]]-Term2_Day_1[[#This Row],[Start]])*1440)</f>
        <v/>
      </c>
      <c r="F40" s="105" t="str">
        <f>IF(ISBLANK(Term2_Day_1[[#This Row],[Activity]]),"",IF(_xlfn.XLOOKUP(Term2_Day_1[[#This Row],[Activity]],Types_of_Activity[Type of Activity],Types_of_Activity[Classification])=1,Term2_Day_1[[#This Row],[Elapsed]],0))</f>
        <v/>
      </c>
      <c r="G40" s="105" t="str">
        <f>IF(ISBLANK(Term2_Day_1[[#This Row],[Activity]]),"",IF(_xlfn.XLOOKUP(Term2_Day_1[[#This Row],[Activity]],Types_of_Activity[Type of Activity],Types_of_Activity[Classification])=2,Term2_Day_1[[#This Row],[Elapsed]],0))</f>
        <v/>
      </c>
      <c r="I40" s="135"/>
      <c r="J40" s="135"/>
      <c r="K40" s="102"/>
      <c r="L40" s="105" t="str">
        <f>IF(OR(ISBLANK(Term2_Day_2[[#This Row],[Start]]),ISBLANK(Term2_Day_2[[#This Row],[End]])),"",(Term2_Day_2[[#This Row],[End]]-Term2_Day_2[[#This Row],[Start]])*1440)</f>
        <v/>
      </c>
      <c r="M40" s="105" t="str">
        <f>IF(ISBLANK(Term2_Day_2[[#This Row],[Activity]]),"",IF(_xlfn.XLOOKUP(Term2_Day_2[[#This Row],[Activity]],Types_of_Activity[Type of Activity],Types_of_Activity[Classification])=1,Term2_Day_2[[#This Row],[Elapsed]],0))</f>
        <v/>
      </c>
      <c r="N40" s="105" t="str">
        <f>IF(ISBLANK(Term2_Day_2[[#This Row],[Activity]]),"",IF(_xlfn.XLOOKUP(Term2_Day_2[[#This Row],[Activity]],Types_of_Activity[Type of Activity],Types_of_Activity[Classification])=2,Term2_Day_2[[#This Row],[Elapsed]],0))</f>
        <v/>
      </c>
      <c r="P40" s="135"/>
      <c r="Q40" s="135"/>
      <c r="R40" s="102"/>
      <c r="S40" s="105" t="str">
        <f>IF(OR(ISBLANK(Term2_Day_3[[#This Row],[Start]]),ISBLANK(Term2_Day_3[[#This Row],[End]])),"",(Term2_Day_3[[#This Row],[End]]-Term2_Day_3[[#This Row],[Start]])*1440)</f>
        <v/>
      </c>
      <c r="T40" s="105" t="str">
        <f>IF(ISBLANK(Term2_Day_3[[#This Row],[Activity]]),"",IF(_xlfn.XLOOKUP(Term2_Day_3[[#This Row],[Activity]],Types_of_Activity[Type of Activity],Types_of_Activity[Classification])=1,Term2_Day_3[[#This Row],[Elapsed]],0))</f>
        <v/>
      </c>
      <c r="U40" s="105" t="str">
        <f>IF(ISBLANK(Term2_Day_3[[#This Row],[Activity]]),"",IF(_xlfn.XLOOKUP(Term2_Day_3[[#This Row],[Activity]],Types_of_Activity[Type of Activity],Types_of_Activity[Classification])=2,Term2_Day_3[[#This Row],[Elapsed]],0))</f>
        <v/>
      </c>
      <c r="W40" s="135"/>
      <c r="X40" s="135"/>
      <c r="Y40" s="102"/>
      <c r="Z40" s="105" t="str">
        <f>IF(OR(ISBLANK(Term2_Day_4[[#This Row],[Start]]),ISBLANK(Term2_Day_4[[#This Row],[End]])),"",(Term2_Day_4[[#This Row],[End]]-Term2_Day_4[[#This Row],[Start]])*1440)</f>
        <v/>
      </c>
      <c r="AA40" s="105" t="str">
        <f>IF(ISBLANK(Term2_Day_4[[#This Row],[Activity]]),"",IF(_xlfn.XLOOKUP(Term2_Day_4[[#This Row],[Activity]],Types_of_Activity[Type of Activity],Types_of_Activity[Classification])=1,Term2_Day_4[[#This Row],[Elapsed]],0))</f>
        <v/>
      </c>
      <c r="AB40" s="105" t="str">
        <f>IF(ISBLANK(Term2_Day_4[[#This Row],[Activity]]),"",IF(_xlfn.XLOOKUP(Term2_Day_4[[#This Row],[Activity]],Types_of_Activity[Type of Activity],Types_of_Activity[Classification])=2,Term2_Day_4[[#This Row],[Elapsed]],0))</f>
        <v/>
      </c>
      <c r="AD40" s="135"/>
      <c r="AE40" s="135"/>
      <c r="AF40" s="102"/>
      <c r="AG40" s="105" t="str">
        <f>IF(OR(ISBLANK(Term2_Day_5[[#This Row],[Start]]),ISBLANK(Term2_Day_5[[#This Row],[End]])),"",(Term2_Day_5[[#This Row],[End]]-Term2_Day_5[[#This Row],[Start]])*1440)</f>
        <v/>
      </c>
      <c r="AH40" s="105" t="str">
        <f>IF(ISBLANK(Term2_Day_5[[#This Row],[Activity]]),"",IF(_xlfn.XLOOKUP(Term2_Day_5[[#This Row],[Activity]],Types_of_Activity[Type of Activity],Types_of_Activity[Classification])=1,Term2_Day_5[[#This Row],[Elapsed]],0))</f>
        <v/>
      </c>
      <c r="AI40" s="105" t="str">
        <f>IF(ISBLANK(Term2_Day_5[[#This Row],[Activity]]),"",IF(_xlfn.XLOOKUP(Term2_Day_5[[#This Row],[Activity]],Types_of_Activity[Type of Activity],Types_of_Activity[Classification])=2,Term2_Day_5[[#This Row],[Elapsed]],0))</f>
        <v/>
      </c>
      <c r="AJ40" s="106"/>
      <c r="AK40" s="135"/>
      <c r="AL40" s="135"/>
      <c r="AM40" s="102"/>
      <c r="AN40" s="105" t="str">
        <f>IF(OR(ISBLANK(Term2_Day_6[[#This Row],[Start]]),ISBLANK(Term2_Day_6[[#This Row],[End]])),"",(Term2_Day_6[[#This Row],[End]]-Term2_Day_6[[#This Row],[Start]])*1440)</f>
        <v/>
      </c>
      <c r="AO40" s="105" t="str">
        <f>IF(ISBLANK(Term2_Day_6[[#This Row],[Activity]]),"",IF(_xlfn.XLOOKUP(Term2_Day_6[[#This Row],[Activity]],Types_of_Activity[Type of Activity],Types_of_Activity[Classification])=1,Term2_Day_6[[#This Row],[Elapsed]],0))</f>
        <v/>
      </c>
      <c r="AP40" s="105" t="str">
        <f>IF(ISBLANK(Term2_Day_6[[#This Row],[Activity]]),"",IF(_xlfn.XLOOKUP(Term2_Day_6[[#This Row],[Activity]],Types_of_Activity[Type of Activity],Types_of_Activity[Classification])=2,Term2_Day_6[[#This Row],[Elapsed]],0))</f>
        <v/>
      </c>
      <c r="AQ40" s="106"/>
      <c r="AR40" s="135"/>
      <c r="AS40" s="135"/>
      <c r="AT40" s="102"/>
      <c r="AU40" s="105" t="str">
        <f>IF(OR(ISBLANK(Term2_Day_7[[#This Row],[Start]]),ISBLANK(Term2_Day_7[[#This Row],[End]])),"",(Term2_Day_7[[#This Row],[End]]-Term2_Day_7[[#This Row],[Start]])*1440)</f>
        <v/>
      </c>
      <c r="AV40" s="105" t="str">
        <f>IF(ISBLANK(Term2_Day_7[[#This Row],[Activity]]),"",IF(_xlfn.XLOOKUP(Term2_Day_7[[#This Row],[Activity]],Types_of_Activity[Type of Activity],Types_of_Activity[Classification])=1,Term2_Day_7[[#This Row],[Elapsed]],0))</f>
        <v/>
      </c>
      <c r="AW40" s="105" t="str">
        <f>IF(ISBLANK(Term2_Day_7[[#This Row],[Activity]]),"",IF(_xlfn.XLOOKUP(Term2_Day_7[[#This Row],[Activity]],Types_of_Activity[Type of Activity],Types_of_Activity[Classification])=2,Term2_Day_7[[#This Row],[Elapsed]],0))</f>
        <v/>
      </c>
      <c r="AX40" s="106"/>
      <c r="AY40" s="135"/>
      <c r="AZ40" s="135"/>
      <c r="BA40" s="102"/>
      <c r="BB40" s="105" t="str">
        <f>IF(OR(ISBLANK(Term2_Day_8[[#This Row],[Start]]),ISBLANK(Term2_Day_8[[#This Row],[End]])),"",(Term2_Day_8[[#This Row],[End]]-Term2_Day_8[[#This Row],[Start]])*1440)</f>
        <v/>
      </c>
      <c r="BC40" s="105" t="str">
        <f>IF(ISBLANK(Term2_Day_8[[#This Row],[Activity]]),"",IF(_xlfn.XLOOKUP(Term2_Day_8[[#This Row],[Activity]],Types_of_Activity[Type of Activity],Types_of_Activity[Classification])=1,Term2_Day_8[[#This Row],[Elapsed]],0))</f>
        <v/>
      </c>
      <c r="BD40" s="105" t="str">
        <f>IF(ISBLANK(Term2_Day_8[[#This Row],[Activity]]),"",IF(_xlfn.XLOOKUP(Term2_Day_8[[#This Row],[Activity]],Types_of_Activity[Type of Activity],Types_of_Activity[Classification])=2,Term2_Day_8[[#This Row],[Elapsed]],0))</f>
        <v/>
      </c>
      <c r="BE40" s="106"/>
      <c r="BF40" s="135"/>
      <c r="BG40" s="135"/>
      <c r="BH40" s="102"/>
      <c r="BI40" s="105" t="str">
        <f>IF(OR(ISBLANK(Term2_Day_9[[#This Row],[Start]]),ISBLANK(Term2_Day_9[[#This Row],[End]])),"",(Term2_Day_9[[#This Row],[End]]-Term2_Day_9[[#This Row],[Start]])*1440)</f>
        <v/>
      </c>
      <c r="BJ40" s="105" t="str">
        <f>IF(ISBLANK(Term2_Day_9[[#This Row],[Activity]]),"",IF(_xlfn.XLOOKUP(Term2_Day_9[[#This Row],[Activity]],Types_of_Activity[Type of Activity],Types_of_Activity[Classification])=1,Term2_Day_9[[#This Row],[Elapsed]],0))</f>
        <v/>
      </c>
      <c r="BK40" s="105" t="str">
        <f>IF(ISBLANK(Term2_Day_9[[#This Row],[Activity]]),"",IF(_xlfn.XLOOKUP(Term2_Day_9[[#This Row],[Activity]],Types_of_Activity[Type of Activity],Types_of_Activity[Classification])=2,Term2_Day_9[[#This Row],[Elapsed]],0))</f>
        <v/>
      </c>
      <c r="BL40" s="106"/>
      <c r="BM40" s="135"/>
      <c r="BN40" s="135"/>
      <c r="BO40" s="102"/>
      <c r="BP40" s="105" t="str">
        <f>IF(OR(ISBLANK(Term2_Day_10[[#This Row],[Start]]),ISBLANK(Term2_Day_10[[#This Row],[End]])),"",(Term2_Day_10[[#This Row],[End]]-Term2_Day_10[[#This Row],[Start]])*1440)</f>
        <v/>
      </c>
      <c r="BQ40" s="105" t="str">
        <f>IF(ISBLANK(Term2_Day_10[[#This Row],[Activity]]),"",IF(_xlfn.XLOOKUP(Term2_Day_10[[#This Row],[Activity]],Types_of_Activity[Type of Activity],Types_of_Activity[Classification])=1,Term2_Day_10[[#This Row],[Elapsed]],0))</f>
        <v/>
      </c>
      <c r="BR40" s="105" t="str">
        <f>IF(ISBLANK(Term2_Day_10[[#This Row],[Activity]]),"",IF(_xlfn.XLOOKUP(Term2_Day_10[[#This Row],[Activity]],Types_of_Activity[Type of Activity],Types_of_Activity[Classification])=2,Term2_Day_10[[#This Row],[Elapsed]],0))</f>
        <v/>
      </c>
      <c r="BS40" s="106"/>
    </row>
    <row r="41" spans="2:71" x14ac:dyDescent="0.3">
      <c r="B41" s="135"/>
      <c r="C41" s="135"/>
      <c r="D41" s="102"/>
      <c r="E41" s="105" t="str">
        <f>IF(OR(ISBLANK(Term2_Day_1[[#This Row],[Start]]),ISBLANK(Term2_Day_1[[#This Row],[End]])),"",(Term2_Day_1[[#This Row],[End]]-Term2_Day_1[[#This Row],[Start]])*1440)</f>
        <v/>
      </c>
      <c r="F41" s="105" t="str">
        <f>IF(ISBLANK(Term2_Day_1[[#This Row],[Activity]]),"",IF(_xlfn.XLOOKUP(Term2_Day_1[[#This Row],[Activity]],Types_of_Activity[Type of Activity],Types_of_Activity[Classification])=1,Term2_Day_1[[#This Row],[Elapsed]],0))</f>
        <v/>
      </c>
      <c r="G41" s="105" t="str">
        <f>IF(ISBLANK(Term2_Day_1[[#This Row],[Activity]]),"",IF(_xlfn.XLOOKUP(Term2_Day_1[[#This Row],[Activity]],Types_of_Activity[Type of Activity],Types_of_Activity[Classification])=2,Term2_Day_1[[#This Row],[Elapsed]],0))</f>
        <v/>
      </c>
      <c r="I41" s="135"/>
      <c r="J41" s="135"/>
      <c r="K41" s="102"/>
      <c r="L41" s="105" t="str">
        <f>IF(OR(ISBLANK(Term2_Day_2[[#This Row],[Start]]),ISBLANK(Term2_Day_2[[#This Row],[End]])),"",(Term2_Day_2[[#This Row],[End]]-Term2_Day_2[[#This Row],[Start]])*1440)</f>
        <v/>
      </c>
      <c r="M41" s="105" t="str">
        <f>IF(ISBLANK(Term2_Day_2[[#This Row],[Activity]]),"",IF(_xlfn.XLOOKUP(Term2_Day_2[[#This Row],[Activity]],Types_of_Activity[Type of Activity],Types_of_Activity[Classification])=1,Term2_Day_2[[#This Row],[Elapsed]],0))</f>
        <v/>
      </c>
      <c r="N41" s="105" t="str">
        <f>IF(ISBLANK(Term2_Day_2[[#This Row],[Activity]]),"",IF(_xlfn.XLOOKUP(Term2_Day_2[[#This Row],[Activity]],Types_of_Activity[Type of Activity],Types_of_Activity[Classification])=2,Term2_Day_2[[#This Row],[Elapsed]],0))</f>
        <v/>
      </c>
      <c r="P41" s="135"/>
      <c r="Q41" s="135"/>
      <c r="R41" s="102"/>
      <c r="S41" s="105" t="str">
        <f>IF(OR(ISBLANK(Term2_Day_3[[#This Row],[Start]]),ISBLANK(Term2_Day_3[[#This Row],[End]])),"",(Term2_Day_3[[#This Row],[End]]-Term2_Day_3[[#This Row],[Start]])*1440)</f>
        <v/>
      </c>
      <c r="T41" s="105" t="str">
        <f>IF(ISBLANK(Term2_Day_3[[#This Row],[Activity]]),"",IF(_xlfn.XLOOKUP(Term2_Day_3[[#This Row],[Activity]],Types_of_Activity[Type of Activity],Types_of_Activity[Classification])=1,Term2_Day_3[[#This Row],[Elapsed]],0))</f>
        <v/>
      </c>
      <c r="U41" s="105" t="str">
        <f>IF(ISBLANK(Term2_Day_3[[#This Row],[Activity]]),"",IF(_xlfn.XLOOKUP(Term2_Day_3[[#This Row],[Activity]],Types_of_Activity[Type of Activity],Types_of_Activity[Classification])=2,Term2_Day_3[[#This Row],[Elapsed]],0))</f>
        <v/>
      </c>
      <c r="W41" s="135"/>
      <c r="X41" s="135"/>
      <c r="Y41" s="102"/>
      <c r="Z41" s="105" t="str">
        <f>IF(OR(ISBLANK(Term2_Day_4[[#This Row],[Start]]),ISBLANK(Term2_Day_4[[#This Row],[End]])),"",(Term2_Day_4[[#This Row],[End]]-Term2_Day_4[[#This Row],[Start]])*1440)</f>
        <v/>
      </c>
      <c r="AA41" s="105" t="str">
        <f>IF(ISBLANK(Term2_Day_4[[#This Row],[Activity]]),"",IF(_xlfn.XLOOKUP(Term2_Day_4[[#This Row],[Activity]],Types_of_Activity[Type of Activity],Types_of_Activity[Classification])=1,Term2_Day_4[[#This Row],[Elapsed]],0))</f>
        <v/>
      </c>
      <c r="AB41" s="105" t="str">
        <f>IF(ISBLANK(Term2_Day_4[[#This Row],[Activity]]),"",IF(_xlfn.XLOOKUP(Term2_Day_4[[#This Row],[Activity]],Types_of_Activity[Type of Activity],Types_of_Activity[Classification])=2,Term2_Day_4[[#This Row],[Elapsed]],0))</f>
        <v/>
      </c>
      <c r="AD41" s="135"/>
      <c r="AE41" s="135"/>
      <c r="AF41" s="102"/>
      <c r="AG41" s="105" t="str">
        <f>IF(OR(ISBLANK(Term2_Day_5[[#This Row],[Start]]),ISBLANK(Term2_Day_5[[#This Row],[End]])),"",(Term2_Day_5[[#This Row],[End]]-Term2_Day_5[[#This Row],[Start]])*1440)</f>
        <v/>
      </c>
      <c r="AH41" s="105" t="str">
        <f>IF(ISBLANK(Term2_Day_5[[#This Row],[Activity]]),"",IF(_xlfn.XLOOKUP(Term2_Day_5[[#This Row],[Activity]],Types_of_Activity[Type of Activity],Types_of_Activity[Classification])=1,Term2_Day_5[[#This Row],[Elapsed]],0))</f>
        <v/>
      </c>
      <c r="AI41" s="105" t="str">
        <f>IF(ISBLANK(Term2_Day_5[[#This Row],[Activity]]),"",IF(_xlfn.XLOOKUP(Term2_Day_5[[#This Row],[Activity]],Types_of_Activity[Type of Activity],Types_of_Activity[Classification])=2,Term2_Day_5[[#This Row],[Elapsed]],0))</f>
        <v/>
      </c>
      <c r="AJ41" s="106"/>
      <c r="AK41" s="135"/>
      <c r="AL41" s="135"/>
      <c r="AM41" s="102"/>
      <c r="AN41" s="105" t="str">
        <f>IF(OR(ISBLANK(Term2_Day_6[[#This Row],[Start]]),ISBLANK(Term2_Day_6[[#This Row],[End]])),"",(Term2_Day_6[[#This Row],[End]]-Term2_Day_6[[#This Row],[Start]])*1440)</f>
        <v/>
      </c>
      <c r="AO41" s="105" t="str">
        <f>IF(ISBLANK(Term2_Day_6[[#This Row],[Activity]]),"",IF(_xlfn.XLOOKUP(Term2_Day_6[[#This Row],[Activity]],Types_of_Activity[Type of Activity],Types_of_Activity[Classification])=1,Term2_Day_6[[#This Row],[Elapsed]],0))</f>
        <v/>
      </c>
      <c r="AP41" s="105" t="str">
        <f>IF(ISBLANK(Term2_Day_6[[#This Row],[Activity]]),"",IF(_xlfn.XLOOKUP(Term2_Day_6[[#This Row],[Activity]],Types_of_Activity[Type of Activity],Types_of_Activity[Classification])=2,Term2_Day_6[[#This Row],[Elapsed]],0))</f>
        <v/>
      </c>
      <c r="AQ41" s="106"/>
      <c r="AR41" s="135"/>
      <c r="AS41" s="135"/>
      <c r="AT41" s="102"/>
      <c r="AU41" s="105" t="str">
        <f>IF(OR(ISBLANK(Term2_Day_7[[#This Row],[Start]]),ISBLANK(Term2_Day_7[[#This Row],[End]])),"",(Term2_Day_7[[#This Row],[End]]-Term2_Day_7[[#This Row],[Start]])*1440)</f>
        <v/>
      </c>
      <c r="AV41" s="105" t="str">
        <f>IF(ISBLANK(Term2_Day_7[[#This Row],[Activity]]),"",IF(_xlfn.XLOOKUP(Term2_Day_7[[#This Row],[Activity]],Types_of_Activity[Type of Activity],Types_of_Activity[Classification])=1,Term2_Day_7[[#This Row],[Elapsed]],0))</f>
        <v/>
      </c>
      <c r="AW41" s="105" t="str">
        <f>IF(ISBLANK(Term2_Day_7[[#This Row],[Activity]]),"",IF(_xlfn.XLOOKUP(Term2_Day_7[[#This Row],[Activity]],Types_of_Activity[Type of Activity],Types_of_Activity[Classification])=2,Term2_Day_7[[#This Row],[Elapsed]],0))</f>
        <v/>
      </c>
      <c r="AX41" s="106"/>
      <c r="AY41" s="135"/>
      <c r="AZ41" s="135"/>
      <c r="BA41" s="102"/>
      <c r="BB41" s="105" t="str">
        <f>IF(OR(ISBLANK(Term2_Day_8[[#This Row],[Start]]),ISBLANK(Term2_Day_8[[#This Row],[End]])),"",(Term2_Day_8[[#This Row],[End]]-Term2_Day_8[[#This Row],[Start]])*1440)</f>
        <v/>
      </c>
      <c r="BC41" s="105" t="str">
        <f>IF(ISBLANK(Term2_Day_8[[#This Row],[Activity]]),"",IF(_xlfn.XLOOKUP(Term2_Day_8[[#This Row],[Activity]],Types_of_Activity[Type of Activity],Types_of_Activity[Classification])=1,Term2_Day_8[[#This Row],[Elapsed]],0))</f>
        <v/>
      </c>
      <c r="BD41" s="105" t="str">
        <f>IF(ISBLANK(Term2_Day_8[[#This Row],[Activity]]),"",IF(_xlfn.XLOOKUP(Term2_Day_8[[#This Row],[Activity]],Types_of_Activity[Type of Activity],Types_of_Activity[Classification])=2,Term2_Day_8[[#This Row],[Elapsed]],0))</f>
        <v/>
      </c>
      <c r="BE41" s="106"/>
      <c r="BF41" s="135"/>
      <c r="BG41" s="135"/>
      <c r="BH41" s="102"/>
      <c r="BI41" s="105" t="str">
        <f>IF(OR(ISBLANK(Term2_Day_9[[#This Row],[Start]]),ISBLANK(Term2_Day_9[[#This Row],[End]])),"",(Term2_Day_9[[#This Row],[End]]-Term2_Day_9[[#This Row],[Start]])*1440)</f>
        <v/>
      </c>
      <c r="BJ41" s="105" t="str">
        <f>IF(ISBLANK(Term2_Day_9[[#This Row],[Activity]]),"",IF(_xlfn.XLOOKUP(Term2_Day_9[[#This Row],[Activity]],Types_of_Activity[Type of Activity],Types_of_Activity[Classification])=1,Term2_Day_9[[#This Row],[Elapsed]],0))</f>
        <v/>
      </c>
      <c r="BK41" s="105" t="str">
        <f>IF(ISBLANK(Term2_Day_9[[#This Row],[Activity]]),"",IF(_xlfn.XLOOKUP(Term2_Day_9[[#This Row],[Activity]],Types_of_Activity[Type of Activity],Types_of_Activity[Classification])=2,Term2_Day_9[[#This Row],[Elapsed]],0))</f>
        <v/>
      </c>
      <c r="BL41" s="106"/>
      <c r="BM41" s="135"/>
      <c r="BN41" s="135"/>
      <c r="BO41" s="102"/>
      <c r="BP41" s="105" t="str">
        <f>IF(OR(ISBLANK(Term2_Day_10[[#This Row],[Start]]),ISBLANK(Term2_Day_10[[#This Row],[End]])),"",(Term2_Day_10[[#This Row],[End]]-Term2_Day_10[[#This Row],[Start]])*1440)</f>
        <v/>
      </c>
      <c r="BQ41" s="105" t="str">
        <f>IF(ISBLANK(Term2_Day_10[[#This Row],[Activity]]),"",IF(_xlfn.XLOOKUP(Term2_Day_10[[#This Row],[Activity]],Types_of_Activity[Type of Activity],Types_of_Activity[Classification])=1,Term2_Day_10[[#This Row],[Elapsed]],0))</f>
        <v/>
      </c>
      <c r="BR41" s="105" t="str">
        <f>IF(ISBLANK(Term2_Day_10[[#This Row],[Activity]]),"",IF(_xlfn.XLOOKUP(Term2_Day_10[[#This Row],[Activity]],Types_of_Activity[Type of Activity],Types_of_Activity[Classification])=2,Term2_Day_10[[#This Row],[Elapsed]],0))</f>
        <v/>
      </c>
      <c r="BS41" s="106"/>
    </row>
    <row r="42" spans="2:71" x14ac:dyDescent="0.3">
      <c r="B42" s="135"/>
      <c r="C42" s="135"/>
      <c r="D42" s="102"/>
      <c r="E42" s="105" t="str">
        <f>IF(OR(ISBLANK(Term2_Day_1[[#This Row],[Start]]),ISBLANK(Term2_Day_1[[#This Row],[End]])),"",(Term2_Day_1[[#This Row],[End]]-Term2_Day_1[[#This Row],[Start]])*1440)</f>
        <v/>
      </c>
      <c r="F42" s="105" t="str">
        <f>IF(ISBLANK(Term2_Day_1[[#This Row],[Activity]]),"",IF(_xlfn.XLOOKUP(Term2_Day_1[[#This Row],[Activity]],Types_of_Activity[Type of Activity],Types_of_Activity[Classification])=1,Term2_Day_1[[#This Row],[Elapsed]],0))</f>
        <v/>
      </c>
      <c r="G42" s="105" t="str">
        <f>IF(ISBLANK(Term2_Day_1[[#This Row],[Activity]]),"",IF(_xlfn.XLOOKUP(Term2_Day_1[[#This Row],[Activity]],Types_of_Activity[Type of Activity],Types_of_Activity[Classification])=2,Term2_Day_1[[#This Row],[Elapsed]],0))</f>
        <v/>
      </c>
      <c r="I42" s="135"/>
      <c r="J42" s="135"/>
      <c r="K42" s="102"/>
      <c r="L42" s="105" t="str">
        <f>IF(OR(ISBLANK(Term2_Day_2[[#This Row],[Start]]),ISBLANK(Term2_Day_2[[#This Row],[End]])),"",(Term2_Day_2[[#This Row],[End]]-Term2_Day_2[[#This Row],[Start]])*1440)</f>
        <v/>
      </c>
      <c r="M42" s="105" t="str">
        <f>IF(ISBLANK(Term2_Day_2[[#This Row],[Activity]]),"",IF(_xlfn.XLOOKUP(Term2_Day_2[[#This Row],[Activity]],Types_of_Activity[Type of Activity],Types_of_Activity[Classification])=1,Term2_Day_2[[#This Row],[Elapsed]],0))</f>
        <v/>
      </c>
      <c r="N42" s="105" t="str">
        <f>IF(ISBLANK(Term2_Day_2[[#This Row],[Activity]]),"",IF(_xlfn.XLOOKUP(Term2_Day_2[[#This Row],[Activity]],Types_of_Activity[Type of Activity],Types_of_Activity[Classification])=2,Term2_Day_2[[#This Row],[Elapsed]],0))</f>
        <v/>
      </c>
      <c r="P42" s="135"/>
      <c r="Q42" s="135"/>
      <c r="R42" s="102"/>
      <c r="S42" s="105" t="str">
        <f>IF(OR(ISBLANK(Term2_Day_3[[#This Row],[Start]]),ISBLANK(Term2_Day_3[[#This Row],[End]])),"",(Term2_Day_3[[#This Row],[End]]-Term2_Day_3[[#This Row],[Start]])*1440)</f>
        <v/>
      </c>
      <c r="T42" s="105" t="str">
        <f>IF(ISBLANK(Term2_Day_3[[#This Row],[Activity]]),"",IF(_xlfn.XLOOKUP(Term2_Day_3[[#This Row],[Activity]],Types_of_Activity[Type of Activity],Types_of_Activity[Classification])=1,Term2_Day_3[[#This Row],[Elapsed]],0))</f>
        <v/>
      </c>
      <c r="U42" s="105" t="str">
        <f>IF(ISBLANK(Term2_Day_3[[#This Row],[Activity]]),"",IF(_xlfn.XLOOKUP(Term2_Day_3[[#This Row],[Activity]],Types_of_Activity[Type of Activity],Types_of_Activity[Classification])=2,Term2_Day_3[[#This Row],[Elapsed]],0))</f>
        <v/>
      </c>
      <c r="W42" s="135"/>
      <c r="X42" s="135"/>
      <c r="Y42" s="102"/>
      <c r="Z42" s="105" t="str">
        <f>IF(OR(ISBLANK(Term2_Day_4[[#This Row],[Start]]),ISBLANK(Term2_Day_4[[#This Row],[End]])),"",(Term2_Day_4[[#This Row],[End]]-Term2_Day_4[[#This Row],[Start]])*1440)</f>
        <v/>
      </c>
      <c r="AA42" s="105" t="str">
        <f>IF(ISBLANK(Term2_Day_4[[#This Row],[Activity]]),"",IF(_xlfn.XLOOKUP(Term2_Day_4[[#This Row],[Activity]],Types_of_Activity[Type of Activity],Types_of_Activity[Classification])=1,Term2_Day_4[[#This Row],[Elapsed]],0))</f>
        <v/>
      </c>
      <c r="AB42" s="105" t="str">
        <f>IF(ISBLANK(Term2_Day_4[[#This Row],[Activity]]),"",IF(_xlfn.XLOOKUP(Term2_Day_4[[#This Row],[Activity]],Types_of_Activity[Type of Activity],Types_of_Activity[Classification])=2,Term2_Day_4[[#This Row],[Elapsed]],0))</f>
        <v/>
      </c>
      <c r="AD42" s="135"/>
      <c r="AE42" s="135"/>
      <c r="AF42" s="102"/>
      <c r="AG42" s="105" t="str">
        <f>IF(OR(ISBLANK(Term2_Day_5[[#This Row],[Start]]),ISBLANK(Term2_Day_5[[#This Row],[End]])),"",(Term2_Day_5[[#This Row],[End]]-Term2_Day_5[[#This Row],[Start]])*1440)</f>
        <v/>
      </c>
      <c r="AH42" s="105" t="str">
        <f>IF(ISBLANK(Term2_Day_5[[#This Row],[Activity]]),"",IF(_xlfn.XLOOKUP(Term2_Day_5[[#This Row],[Activity]],Types_of_Activity[Type of Activity],Types_of_Activity[Classification])=1,Term2_Day_5[[#This Row],[Elapsed]],0))</f>
        <v/>
      </c>
      <c r="AI42" s="105" t="str">
        <f>IF(ISBLANK(Term2_Day_5[[#This Row],[Activity]]),"",IF(_xlfn.XLOOKUP(Term2_Day_5[[#This Row],[Activity]],Types_of_Activity[Type of Activity],Types_of_Activity[Classification])=2,Term2_Day_5[[#This Row],[Elapsed]],0))</f>
        <v/>
      </c>
      <c r="AJ42" s="106"/>
      <c r="AK42" s="135"/>
      <c r="AL42" s="135"/>
      <c r="AM42" s="102"/>
      <c r="AN42" s="105" t="str">
        <f>IF(OR(ISBLANK(Term2_Day_6[[#This Row],[Start]]),ISBLANK(Term2_Day_6[[#This Row],[End]])),"",(Term2_Day_6[[#This Row],[End]]-Term2_Day_6[[#This Row],[Start]])*1440)</f>
        <v/>
      </c>
      <c r="AO42" s="105" t="str">
        <f>IF(ISBLANK(Term2_Day_6[[#This Row],[Activity]]),"",IF(_xlfn.XLOOKUP(Term2_Day_6[[#This Row],[Activity]],Types_of_Activity[Type of Activity],Types_of_Activity[Classification])=1,Term2_Day_6[[#This Row],[Elapsed]],0))</f>
        <v/>
      </c>
      <c r="AP42" s="105" t="str">
        <f>IF(ISBLANK(Term2_Day_6[[#This Row],[Activity]]),"",IF(_xlfn.XLOOKUP(Term2_Day_6[[#This Row],[Activity]],Types_of_Activity[Type of Activity],Types_of_Activity[Classification])=2,Term2_Day_6[[#This Row],[Elapsed]],0))</f>
        <v/>
      </c>
      <c r="AQ42" s="106"/>
      <c r="AR42" s="135"/>
      <c r="AS42" s="135"/>
      <c r="AT42" s="102"/>
      <c r="AU42" s="105" t="str">
        <f>IF(OR(ISBLANK(Term2_Day_7[[#This Row],[Start]]),ISBLANK(Term2_Day_7[[#This Row],[End]])),"",(Term2_Day_7[[#This Row],[End]]-Term2_Day_7[[#This Row],[Start]])*1440)</f>
        <v/>
      </c>
      <c r="AV42" s="105" t="str">
        <f>IF(ISBLANK(Term2_Day_7[[#This Row],[Activity]]),"",IF(_xlfn.XLOOKUP(Term2_Day_7[[#This Row],[Activity]],Types_of_Activity[Type of Activity],Types_of_Activity[Classification])=1,Term2_Day_7[[#This Row],[Elapsed]],0))</f>
        <v/>
      </c>
      <c r="AW42" s="105" t="str">
        <f>IF(ISBLANK(Term2_Day_7[[#This Row],[Activity]]),"",IF(_xlfn.XLOOKUP(Term2_Day_7[[#This Row],[Activity]],Types_of_Activity[Type of Activity],Types_of_Activity[Classification])=2,Term2_Day_7[[#This Row],[Elapsed]],0))</f>
        <v/>
      </c>
      <c r="AX42" s="106"/>
      <c r="AY42" s="135"/>
      <c r="AZ42" s="135"/>
      <c r="BA42" s="102"/>
      <c r="BB42" s="105" t="str">
        <f>IF(OR(ISBLANK(Term2_Day_8[[#This Row],[Start]]),ISBLANK(Term2_Day_8[[#This Row],[End]])),"",(Term2_Day_8[[#This Row],[End]]-Term2_Day_8[[#This Row],[Start]])*1440)</f>
        <v/>
      </c>
      <c r="BC42" s="105" t="str">
        <f>IF(ISBLANK(Term2_Day_8[[#This Row],[Activity]]),"",IF(_xlfn.XLOOKUP(Term2_Day_8[[#This Row],[Activity]],Types_of_Activity[Type of Activity],Types_of_Activity[Classification])=1,Term2_Day_8[[#This Row],[Elapsed]],0))</f>
        <v/>
      </c>
      <c r="BD42" s="105" t="str">
        <f>IF(ISBLANK(Term2_Day_8[[#This Row],[Activity]]),"",IF(_xlfn.XLOOKUP(Term2_Day_8[[#This Row],[Activity]],Types_of_Activity[Type of Activity],Types_of_Activity[Classification])=2,Term2_Day_8[[#This Row],[Elapsed]],0))</f>
        <v/>
      </c>
      <c r="BE42" s="106"/>
      <c r="BF42" s="135"/>
      <c r="BG42" s="135"/>
      <c r="BH42" s="102"/>
      <c r="BI42" s="105" t="str">
        <f>IF(OR(ISBLANK(Term2_Day_9[[#This Row],[Start]]),ISBLANK(Term2_Day_9[[#This Row],[End]])),"",(Term2_Day_9[[#This Row],[End]]-Term2_Day_9[[#This Row],[Start]])*1440)</f>
        <v/>
      </c>
      <c r="BJ42" s="105" t="str">
        <f>IF(ISBLANK(Term2_Day_9[[#This Row],[Activity]]),"",IF(_xlfn.XLOOKUP(Term2_Day_9[[#This Row],[Activity]],Types_of_Activity[Type of Activity],Types_of_Activity[Classification])=1,Term2_Day_9[[#This Row],[Elapsed]],0))</f>
        <v/>
      </c>
      <c r="BK42" s="105" t="str">
        <f>IF(ISBLANK(Term2_Day_9[[#This Row],[Activity]]),"",IF(_xlfn.XLOOKUP(Term2_Day_9[[#This Row],[Activity]],Types_of_Activity[Type of Activity],Types_of_Activity[Classification])=2,Term2_Day_9[[#This Row],[Elapsed]],0))</f>
        <v/>
      </c>
      <c r="BL42" s="106"/>
      <c r="BM42" s="135"/>
      <c r="BN42" s="135"/>
      <c r="BO42" s="102"/>
      <c r="BP42" s="105" t="str">
        <f>IF(OR(ISBLANK(Term2_Day_10[[#This Row],[Start]]),ISBLANK(Term2_Day_10[[#This Row],[End]])),"",(Term2_Day_10[[#This Row],[End]]-Term2_Day_10[[#This Row],[Start]])*1440)</f>
        <v/>
      </c>
      <c r="BQ42" s="105" t="str">
        <f>IF(ISBLANK(Term2_Day_10[[#This Row],[Activity]]),"",IF(_xlfn.XLOOKUP(Term2_Day_10[[#This Row],[Activity]],Types_of_Activity[Type of Activity],Types_of_Activity[Classification])=1,Term2_Day_10[[#This Row],[Elapsed]],0))</f>
        <v/>
      </c>
      <c r="BR42" s="105" t="str">
        <f>IF(ISBLANK(Term2_Day_10[[#This Row],[Activity]]),"",IF(_xlfn.XLOOKUP(Term2_Day_10[[#This Row],[Activity]],Types_of_Activity[Type of Activity],Types_of_Activity[Classification])=2,Term2_Day_10[[#This Row],[Elapsed]],0))</f>
        <v/>
      </c>
      <c r="BS42" s="106"/>
    </row>
    <row r="43" spans="2:71" x14ac:dyDescent="0.3">
      <c r="B43" s="135"/>
      <c r="C43" s="135"/>
      <c r="D43" s="102"/>
      <c r="E43" s="105" t="str">
        <f>IF(OR(ISBLANK(Term2_Day_1[[#This Row],[Start]]),ISBLANK(Term2_Day_1[[#This Row],[End]])),"",(Term2_Day_1[[#This Row],[End]]-Term2_Day_1[[#This Row],[Start]])*1440)</f>
        <v/>
      </c>
      <c r="F43" s="105" t="str">
        <f>IF(ISBLANK(Term2_Day_1[[#This Row],[Activity]]),"",IF(_xlfn.XLOOKUP(Term2_Day_1[[#This Row],[Activity]],Types_of_Activity[Type of Activity],Types_of_Activity[Classification])=1,Term2_Day_1[[#This Row],[Elapsed]],0))</f>
        <v/>
      </c>
      <c r="G43" s="105" t="str">
        <f>IF(ISBLANK(Term2_Day_1[[#This Row],[Activity]]),"",IF(_xlfn.XLOOKUP(Term2_Day_1[[#This Row],[Activity]],Types_of_Activity[Type of Activity],Types_of_Activity[Classification])=2,Term2_Day_1[[#This Row],[Elapsed]],0))</f>
        <v/>
      </c>
      <c r="I43" s="135"/>
      <c r="J43" s="135"/>
      <c r="K43" s="102"/>
      <c r="L43" s="105" t="str">
        <f>IF(OR(ISBLANK(Term2_Day_2[[#This Row],[Start]]),ISBLANK(Term2_Day_2[[#This Row],[End]])),"",(Term2_Day_2[[#This Row],[End]]-Term2_Day_2[[#This Row],[Start]])*1440)</f>
        <v/>
      </c>
      <c r="M43" s="105" t="str">
        <f>IF(ISBLANK(Term2_Day_2[[#This Row],[Activity]]),"",IF(_xlfn.XLOOKUP(Term2_Day_2[[#This Row],[Activity]],Types_of_Activity[Type of Activity],Types_of_Activity[Classification])=1,Term2_Day_2[[#This Row],[Elapsed]],0))</f>
        <v/>
      </c>
      <c r="N43" s="105" t="str">
        <f>IF(ISBLANK(Term2_Day_2[[#This Row],[Activity]]),"",IF(_xlfn.XLOOKUP(Term2_Day_2[[#This Row],[Activity]],Types_of_Activity[Type of Activity],Types_of_Activity[Classification])=2,Term2_Day_2[[#This Row],[Elapsed]],0))</f>
        <v/>
      </c>
      <c r="P43" s="135"/>
      <c r="Q43" s="135"/>
      <c r="R43" s="102"/>
      <c r="S43" s="105" t="str">
        <f>IF(OR(ISBLANK(Term2_Day_3[[#This Row],[Start]]),ISBLANK(Term2_Day_3[[#This Row],[End]])),"",(Term2_Day_3[[#This Row],[End]]-Term2_Day_3[[#This Row],[Start]])*1440)</f>
        <v/>
      </c>
      <c r="T43" s="105" t="str">
        <f>IF(ISBLANK(Term2_Day_3[[#This Row],[Activity]]),"",IF(_xlfn.XLOOKUP(Term2_Day_3[[#This Row],[Activity]],Types_of_Activity[Type of Activity],Types_of_Activity[Classification])=1,Term2_Day_3[[#This Row],[Elapsed]],0))</f>
        <v/>
      </c>
      <c r="U43" s="105" t="str">
        <f>IF(ISBLANK(Term2_Day_3[[#This Row],[Activity]]),"",IF(_xlfn.XLOOKUP(Term2_Day_3[[#This Row],[Activity]],Types_of_Activity[Type of Activity],Types_of_Activity[Classification])=2,Term2_Day_3[[#This Row],[Elapsed]],0))</f>
        <v/>
      </c>
      <c r="W43" s="135"/>
      <c r="X43" s="135"/>
      <c r="Y43" s="102"/>
      <c r="Z43" s="105" t="str">
        <f>IF(OR(ISBLANK(Term2_Day_4[[#This Row],[Start]]),ISBLANK(Term2_Day_4[[#This Row],[End]])),"",(Term2_Day_4[[#This Row],[End]]-Term2_Day_4[[#This Row],[Start]])*1440)</f>
        <v/>
      </c>
      <c r="AA43" s="105" t="str">
        <f>IF(ISBLANK(Term2_Day_4[[#This Row],[Activity]]),"",IF(_xlfn.XLOOKUP(Term2_Day_4[[#This Row],[Activity]],Types_of_Activity[Type of Activity],Types_of_Activity[Classification])=1,Term2_Day_4[[#This Row],[Elapsed]],0))</f>
        <v/>
      </c>
      <c r="AB43" s="105" t="str">
        <f>IF(ISBLANK(Term2_Day_4[[#This Row],[Activity]]),"",IF(_xlfn.XLOOKUP(Term2_Day_4[[#This Row],[Activity]],Types_of_Activity[Type of Activity],Types_of_Activity[Classification])=2,Term2_Day_4[[#This Row],[Elapsed]],0))</f>
        <v/>
      </c>
      <c r="AD43" s="135"/>
      <c r="AE43" s="135"/>
      <c r="AF43" s="102"/>
      <c r="AG43" s="105" t="str">
        <f>IF(OR(ISBLANK(Term2_Day_5[[#This Row],[Start]]),ISBLANK(Term2_Day_5[[#This Row],[End]])),"",(Term2_Day_5[[#This Row],[End]]-Term2_Day_5[[#This Row],[Start]])*1440)</f>
        <v/>
      </c>
      <c r="AH43" s="105" t="str">
        <f>IF(ISBLANK(Term2_Day_5[[#This Row],[Activity]]),"",IF(_xlfn.XLOOKUP(Term2_Day_5[[#This Row],[Activity]],Types_of_Activity[Type of Activity],Types_of_Activity[Classification])=1,Term2_Day_5[[#This Row],[Elapsed]],0))</f>
        <v/>
      </c>
      <c r="AI43" s="105" t="str">
        <f>IF(ISBLANK(Term2_Day_5[[#This Row],[Activity]]),"",IF(_xlfn.XLOOKUP(Term2_Day_5[[#This Row],[Activity]],Types_of_Activity[Type of Activity],Types_of_Activity[Classification])=2,Term2_Day_5[[#This Row],[Elapsed]],0))</f>
        <v/>
      </c>
      <c r="AJ43" s="106"/>
      <c r="AK43" s="135"/>
      <c r="AL43" s="135"/>
      <c r="AM43" s="102"/>
      <c r="AN43" s="105" t="str">
        <f>IF(OR(ISBLANK(Term2_Day_6[[#This Row],[Start]]),ISBLANK(Term2_Day_6[[#This Row],[End]])),"",(Term2_Day_6[[#This Row],[End]]-Term2_Day_6[[#This Row],[Start]])*1440)</f>
        <v/>
      </c>
      <c r="AO43" s="105" t="str">
        <f>IF(ISBLANK(Term2_Day_6[[#This Row],[Activity]]),"",IF(_xlfn.XLOOKUP(Term2_Day_6[[#This Row],[Activity]],Types_of_Activity[Type of Activity],Types_of_Activity[Classification])=1,Term2_Day_6[[#This Row],[Elapsed]],0))</f>
        <v/>
      </c>
      <c r="AP43" s="105" t="str">
        <f>IF(ISBLANK(Term2_Day_6[[#This Row],[Activity]]),"",IF(_xlfn.XLOOKUP(Term2_Day_6[[#This Row],[Activity]],Types_of_Activity[Type of Activity],Types_of_Activity[Classification])=2,Term2_Day_6[[#This Row],[Elapsed]],0))</f>
        <v/>
      </c>
      <c r="AQ43" s="106"/>
      <c r="AR43" s="135"/>
      <c r="AS43" s="135"/>
      <c r="AT43" s="102"/>
      <c r="AU43" s="105" t="str">
        <f>IF(OR(ISBLANK(Term2_Day_7[[#This Row],[Start]]),ISBLANK(Term2_Day_7[[#This Row],[End]])),"",(Term2_Day_7[[#This Row],[End]]-Term2_Day_7[[#This Row],[Start]])*1440)</f>
        <v/>
      </c>
      <c r="AV43" s="105" t="str">
        <f>IF(ISBLANK(Term2_Day_7[[#This Row],[Activity]]),"",IF(_xlfn.XLOOKUP(Term2_Day_7[[#This Row],[Activity]],Types_of_Activity[Type of Activity],Types_of_Activity[Classification])=1,Term2_Day_7[[#This Row],[Elapsed]],0))</f>
        <v/>
      </c>
      <c r="AW43" s="105" t="str">
        <f>IF(ISBLANK(Term2_Day_7[[#This Row],[Activity]]),"",IF(_xlfn.XLOOKUP(Term2_Day_7[[#This Row],[Activity]],Types_of_Activity[Type of Activity],Types_of_Activity[Classification])=2,Term2_Day_7[[#This Row],[Elapsed]],0))</f>
        <v/>
      </c>
      <c r="AX43" s="106"/>
      <c r="AY43" s="135"/>
      <c r="AZ43" s="135"/>
      <c r="BA43" s="102"/>
      <c r="BB43" s="105" t="str">
        <f>IF(OR(ISBLANK(Term2_Day_8[[#This Row],[Start]]),ISBLANK(Term2_Day_8[[#This Row],[End]])),"",(Term2_Day_8[[#This Row],[End]]-Term2_Day_8[[#This Row],[Start]])*1440)</f>
        <v/>
      </c>
      <c r="BC43" s="105" t="str">
        <f>IF(ISBLANK(Term2_Day_8[[#This Row],[Activity]]),"",IF(_xlfn.XLOOKUP(Term2_Day_8[[#This Row],[Activity]],Types_of_Activity[Type of Activity],Types_of_Activity[Classification])=1,Term2_Day_8[[#This Row],[Elapsed]],0))</f>
        <v/>
      </c>
      <c r="BD43" s="105" t="str">
        <f>IF(ISBLANK(Term2_Day_8[[#This Row],[Activity]]),"",IF(_xlfn.XLOOKUP(Term2_Day_8[[#This Row],[Activity]],Types_of_Activity[Type of Activity],Types_of_Activity[Classification])=2,Term2_Day_8[[#This Row],[Elapsed]],0))</f>
        <v/>
      </c>
      <c r="BE43" s="106"/>
      <c r="BF43" s="135"/>
      <c r="BG43" s="135"/>
      <c r="BH43" s="102"/>
      <c r="BI43" s="105" t="str">
        <f>IF(OR(ISBLANK(Term2_Day_9[[#This Row],[Start]]),ISBLANK(Term2_Day_9[[#This Row],[End]])),"",(Term2_Day_9[[#This Row],[End]]-Term2_Day_9[[#This Row],[Start]])*1440)</f>
        <v/>
      </c>
      <c r="BJ43" s="105" t="str">
        <f>IF(ISBLANK(Term2_Day_9[[#This Row],[Activity]]),"",IF(_xlfn.XLOOKUP(Term2_Day_9[[#This Row],[Activity]],Types_of_Activity[Type of Activity],Types_of_Activity[Classification])=1,Term2_Day_9[[#This Row],[Elapsed]],0))</f>
        <v/>
      </c>
      <c r="BK43" s="105" t="str">
        <f>IF(ISBLANK(Term2_Day_9[[#This Row],[Activity]]),"",IF(_xlfn.XLOOKUP(Term2_Day_9[[#This Row],[Activity]],Types_of_Activity[Type of Activity],Types_of_Activity[Classification])=2,Term2_Day_9[[#This Row],[Elapsed]],0))</f>
        <v/>
      </c>
      <c r="BL43" s="106"/>
      <c r="BM43" s="135"/>
      <c r="BN43" s="135"/>
      <c r="BO43" s="102"/>
      <c r="BP43" s="105" t="str">
        <f>IF(OR(ISBLANK(Term2_Day_10[[#This Row],[Start]]),ISBLANK(Term2_Day_10[[#This Row],[End]])),"",(Term2_Day_10[[#This Row],[End]]-Term2_Day_10[[#This Row],[Start]])*1440)</f>
        <v/>
      </c>
      <c r="BQ43" s="105" t="str">
        <f>IF(ISBLANK(Term2_Day_10[[#This Row],[Activity]]),"",IF(_xlfn.XLOOKUP(Term2_Day_10[[#This Row],[Activity]],Types_of_Activity[Type of Activity],Types_of_Activity[Classification])=1,Term2_Day_10[[#This Row],[Elapsed]],0))</f>
        <v/>
      </c>
      <c r="BR43" s="105" t="str">
        <f>IF(ISBLANK(Term2_Day_10[[#This Row],[Activity]]),"",IF(_xlfn.XLOOKUP(Term2_Day_10[[#This Row],[Activity]],Types_of_Activity[Type of Activity],Types_of_Activity[Classification])=2,Term2_Day_10[[#This Row],[Elapsed]],0))</f>
        <v/>
      </c>
      <c r="BS43" s="106"/>
    </row>
    <row r="44" spans="2:71" x14ac:dyDescent="0.3">
      <c r="B44" s="135"/>
      <c r="C44" s="135"/>
      <c r="D44" s="102"/>
      <c r="E44" s="105" t="str">
        <f>IF(OR(ISBLANK(Term2_Day_1[[#This Row],[Start]]),ISBLANK(Term2_Day_1[[#This Row],[End]])),"",(Term2_Day_1[[#This Row],[End]]-Term2_Day_1[[#This Row],[Start]])*1440)</f>
        <v/>
      </c>
      <c r="F44" s="105" t="str">
        <f>IF(ISBLANK(Term2_Day_1[[#This Row],[Activity]]),"",IF(_xlfn.XLOOKUP(Term2_Day_1[[#This Row],[Activity]],Types_of_Activity[Type of Activity],Types_of_Activity[Classification])=1,Term2_Day_1[[#This Row],[Elapsed]],0))</f>
        <v/>
      </c>
      <c r="G44" s="105" t="str">
        <f>IF(ISBLANK(Term2_Day_1[[#This Row],[Activity]]),"",IF(_xlfn.XLOOKUP(Term2_Day_1[[#This Row],[Activity]],Types_of_Activity[Type of Activity],Types_of_Activity[Classification])=2,Term2_Day_1[[#This Row],[Elapsed]],0))</f>
        <v/>
      </c>
      <c r="I44" s="135"/>
      <c r="J44" s="135"/>
      <c r="K44" s="102"/>
      <c r="L44" s="105" t="str">
        <f>IF(OR(ISBLANK(Term2_Day_2[[#This Row],[Start]]),ISBLANK(Term2_Day_2[[#This Row],[End]])),"",(Term2_Day_2[[#This Row],[End]]-Term2_Day_2[[#This Row],[Start]])*1440)</f>
        <v/>
      </c>
      <c r="M44" s="105" t="str">
        <f>IF(ISBLANK(Term2_Day_2[[#This Row],[Activity]]),"",IF(_xlfn.XLOOKUP(Term2_Day_2[[#This Row],[Activity]],Types_of_Activity[Type of Activity],Types_of_Activity[Classification])=1,Term2_Day_2[[#This Row],[Elapsed]],0))</f>
        <v/>
      </c>
      <c r="N44" s="105" t="str">
        <f>IF(ISBLANK(Term2_Day_2[[#This Row],[Activity]]),"",IF(_xlfn.XLOOKUP(Term2_Day_2[[#This Row],[Activity]],Types_of_Activity[Type of Activity],Types_of_Activity[Classification])=2,Term2_Day_2[[#This Row],[Elapsed]],0))</f>
        <v/>
      </c>
      <c r="P44" s="135"/>
      <c r="Q44" s="135"/>
      <c r="R44" s="102"/>
      <c r="S44" s="105" t="str">
        <f>IF(OR(ISBLANK(Term2_Day_3[[#This Row],[Start]]),ISBLANK(Term2_Day_3[[#This Row],[End]])),"",(Term2_Day_3[[#This Row],[End]]-Term2_Day_3[[#This Row],[Start]])*1440)</f>
        <v/>
      </c>
      <c r="T44" s="105" t="str">
        <f>IF(ISBLANK(Term2_Day_3[[#This Row],[Activity]]),"",IF(_xlfn.XLOOKUP(Term2_Day_3[[#This Row],[Activity]],Types_of_Activity[Type of Activity],Types_of_Activity[Classification])=1,Term2_Day_3[[#This Row],[Elapsed]],0))</f>
        <v/>
      </c>
      <c r="U44" s="105" t="str">
        <f>IF(ISBLANK(Term2_Day_3[[#This Row],[Activity]]),"",IF(_xlfn.XLOOKUP(Term2_Day_3[[#This Row],[Activity]],Types_of_Activity[Type of Activity],Types_of_Activity[Classification])=2,Term2_Day_3[[#This Row],[Elapsed]],0))</f>
        <v/>
      </c>
      <c r="W44" s="135"/>
      <c r="X44" s="135"/>
      <c r="Y44" s="102"/>
      <c r="Z44" s="105" t="str">
        <f>IF(OR(ISBLANK(Term2_Day_4[[#This Row],[Start]]),ISBLANK(Term2_Day_4[[#This Row],[End]])),"",(Term2_Day_4[[#This Row],[End]]-Term2_Day_4[[#This Row],[Start]])*1440)</f>
        <v/>
      </c>
      <c r="AA44" s="105" t="str">
        <f>IF(ISBLANK(Term2_Day_4[[#This Row],[Activity]]),"",IF(_xlfn.XLOOKUP(Term2_Day_4[[#This Row],[Activity]],Types_of_Activity[Type of Activity],Types_of_Activity[Classification])=1,Term2_Day_4[[#This Row],[Elapsed]],0))</f>
        <v/>
      </c>
      <c r="AB44" s="105" t="str">
        <f>IF(ISBLANK(Term2_Day_4[[#This Row],[Activity]]),"",IF(_xlfn.XLOOKUP(Term2_Day_4[[#This Row],[Activity]],Types_of_Activity[Type of Activity],Types_of_Activity[Classification])=2,Term2_Day_4[[#This Row],[Elapsed]],0))</f>
        <v/>
      </c>
      <c r="AD44" s="135"/>
      <c r="AE44" s="135"/>
      <c r="AF44" s="102"/>
      <c r="AG44" s="105" t="str">
        <f>IF(OR(ISBLANK(Term2_Day_5[[#This Row],[Start]]),ISBLANK(Term2_Day_5[[#This Row],[End]])),"",(Term2_Day_5[[#This Row],[End]]-Term2_Day_5[[#This Row],[Start]])*1440)</f>
        <v/>
      </c>
      <c r="AH44" s="105" t="str">
        <f>IF(ISBLANK(Term2_Day_5[[#This Row],[Activity]]),"",IF(_xlfn.XLOOKUP(Term2_Day_5[[#This Row],[Activity]],Types_of_Activity[Type of Activity],Types_of_Activity[Classification])=1,Term2_Day_5[[#This Row],[Elapsed]],0))</f>
        <v/>
      </c>
      <c r="AI44" s="105" t="str">
        <f>IF(ISBLANK(Term2_Day_5[[#This Row],[Activity]]),"",IF(_xlfn.XLOOKUP(Term2_Day_5[[#This Row],[Activity]],Types_of_Activity[Type of Activity],Types_of_Activity[Classification])=2,Term2_Day_5[[#This Row],[Elapsed]],0))</f>
        <v/>
      </c>
      <c r="AJ44" s="106"/>
      <c r="AK44" s="135"/>
      <c r="AL44" s="135"/>
      <c r="AM44" s="102"/>
      <c r="AN44" s="105" t="str">
        <f>IF(OR(ISBLANK(Term2_Day_6[[#This Row],[Start]]),ISBLANK(Term2_Day_6[[#This Row],[End]])),"",(Term2_Day_6[[#This Row],[End]]-Term2_Day_6[[#This Row],[Start]])*1440)</f>
        <v/>
      </c>
      <c r="AO44" s="105" t="str">
        <f>IF(ISBLANK(Term2_Day_6[[#This Row],[Activity]]),"",IF(_xlfn.XLOOKUP(Term2_Day_6[[#This Row],[Activity]],Types_of_Activity[Type of Activity],Types_of_Activity[Classification])=1,Term2_Day_6[[#This Row],[Elapsed]],0))</f>
        <v/>
      </c>
      <c r="AP44" s="105" t="str">
        <f>IF(ISBLANK(Term2_Day_6[[#This Row],[Activity]]),"",IF(_xlfn.XLOOKUP(Term2_Day_6[[#This Row],[Activity]],Types_of_Activity[Type of Activity],Types_of_Activity[Classification])=2,Term2_Day_6[[#This Row],[Elapsed]],0))</f>
        <v/>
      </c>
      <c r="AQ44" s="106"/>
      <c r="AR44" s="135"/>
      <c r="AS44" s="135"/>
      <c r="AT44" s="102"/>
      <c r="AU44" s="105" t="str">
        <f>IF(OR(ISBLANK(Term2_Day_7[[#This Row],[Start]]),ISBLANK(Term2_Day_7[[#This Row],[End]])),"",(Term2_Day_7[[#This Row],[End]]-Term2_Day_7[[#This Row],[Start]])*1440)</f>
        <v/>
      </c>
      <c r="AV44" s="105" t="str">
        <f>IF(ISBLANK(Term2_Day_7[[#This Row],[Activity]]),"",IF(_xlfn.XLOOKUP(Term2_Day_7[[#This Row],[Activity]],Types_of_Activity[Type of Activity],Types_of_Activity[Classification])=1,Term2_Day_7[[#This Row],[Elapsed]],0))</f>
        <v/>
      </c>
      <c r="AW44" s="105" t="str">
        <f>IF(ISBLANK(Term2_Day_7[[#This Row],[Activity]]),"",IF(_xlfn.XLOOKUP(Term2_Day_7[[#This Row],[Activity]],Types_of_Activity[Type of Activity],Types_of_Activity[Classification])=2,Term2_Day_7[[#This Row],[Elapsed]],0))</f>
        <v/>
      </c>
      <c r="AX44" s="106"/>
      <c r="AY44" s="135"/>
      <c r="AZ44" s="135"/>
      <c r="BA44" s="102"/>
      <c r="BB44" s="105" t="str">
        <f>IF(OR(ISBLANK(Term2_Day_8[[#This Row],[Start]]),ISBLANK(Term2_Day_8[[#This Row],[End]])),"",(Term2_Day_8[[#This Row],[End]]-Term2_Day_8[[#This Row],[Start]])*1440)</f>
        <v/>
      </c>
      <c r="BC44" s="105" t="str">
        <f>IF(ISBLANK(Term2_Day_8[[#This Row],[Activity]]),"",IF(_xlfn.XLOOKUP(Term2_Day_8[[#This Row],[Activity]],Types_of_Activity[Type of Activity],Types_of_Activity[Classification])=1,Term2_Day_8[[#This Row],[Elapsed]],0))</f>
        <v/>
      </c>
      <c r="BD44" s="105" t="str">
        <f>IF(ISBLANK(Term2_Day_8[[#This Row],[Activity]]),"",IF(_xlfn.XLOOKUP(Term2_Day_8[[#This Row],[Activity]],Types_of_Activity[Type of Activity],Types_of_Activity[Classification])=2,Term2_Day_8[[#This Row],[Elapsed]],0))</f>
        <v/>
      </c>
      <c r="BE44" s="106"/>
      <c r="BF44" s="135"/>
      <c r="BG44" s="135"/>
      <c r="BH44" s="102"/>
      <c r="BI44" s="105" t="str">
        <f>IF(OR(ISBLANK(Term2_Day_9[[#This Row],[Start]]),ISBLANK(Term2_Day_9[[#This Row],[End]])),"",(Term2_Day_9[[#This Row],[End]]-Term2_Day_9[[#This Row],[Start]])*1440)</f>
        <v/>
      </c>
      <c r="BJ44" s="105" t="str">
        <f>IF(ISBLANK(Term2_Day_9[[#This Row],[Activity]]),"",IF(_xlfn.XLOOKUP(Term2_Day_9[[#This Row],[Activity]],Types_of_Activity[Type of Activity],Types_of_Activity[Classification])=1,Term2_Day_9[[#This Row],[Elapsed]],0))</f>
        <v/>
      </c>
      <c r="BK44" s="105" t="str">
        <f>IF(ISBLANK(Term2_Day_9[[#This Row],[Activity]]),"",IF(_xlfn.XLOOKUP(Term2_Day_9[[#This Row],[Activity]],Types_of_Activity[Type of Activity],Types_of_Activity[Classification])=2,Term2_Day_9[[#This Row],[Elapsed]],0))</f>
        <v/>
      </c>
      <c r="BL44" s="106"/>
      <c r="BM44" s="135"/>
      <c r="BN44" s="135"/>
      <c r="BO44" s="102"/>
      <c r="BP44" s="105" t="str">
        <f>IF(OR(ISBLANK(Term2_Day_10[[#This Row],[Start]]),ISBLANK(Term2_Day_10[[#This Row],[End]])),"",(Term2_Day_10[[#This Row],[End]]-Term2_Day_10[[#This Row],[Start]])*1440)</f>
        <v/>
      </c>
      <c r="BQ44" s="105" t="str">
        <f>IF(ISBLANK(Term2_Day_10[[#This Row],[Activity]]),"",IF(_xlfn.XLOOKUP(Term2_Day_10[[#This Row],[Activity]],Types_of_Activity[Type of Activity],Types_of_Activity[Classification])=1,Term2_Day_10[[#This Row],[Elapsed]],0))</f>
        <v/>
      </c>
      <c r="BR44" s="105" t="str">
        <f>IF(ISBLANK(Term2_Day_10[[#This Row],[Activity]]),"",IF(_xlfn.XLOOKUP(Term2_Day_10[[#This Row],[Activity]],Types_of_Activity[Type of Activity],Types_of_Activity[Classification])=2,Term2_Day_10[[#This Row],[Elapsed]],0))</f>
        <v/>
      </c>
      <c r="BS44" s="106"/>
    </row>
    <row r="45" spans="2:71" x14ac:dyDescent="0.3">
      <c r="B45" s="135"/>
      <c r="C45" s="135"/>
      <c r="D45" s="102"/>
      <c r="E45" s="105" t="str">
        <f>IF(OR(ISBLANK(Term2_Day_1[[#This Row],[Start]]),ISBLANK(Term2_Day_1[[#This Row],[End]])),"",(Term2_Day_1[[#This Row],[End]]-Term2_Day_1[[#This Row],[Start]])*1440)</f>
        <v/>
      </c>
      <c r="F45" s="105" t="str">
        <f>IF(ISBLANK(Term2_Day_1[[#This Row],[Activity]]),"",IF(_xlfn.XLOOKUP(Term2_Day_1[[#This Row],[Activity]],Types_of_Activity[Type of Activity],Types_of_Activity[Classification])=1,Term2_Day_1[[#This Row],[Elapsed]],0))</f>
        <v/>
      </c>
      <c r="G45" s="105" t="str">
        <f>IF(ISBLANK(Term2_Day_1[[#This Row],[Activity]]),"",IF(_xlfn.XLOOKUP(Term2_Day_1[[#This Row],[Activity]],Types_of_Activity[Type of Activity],Types_of_Activity[Classification])=2,Term2_Day_1[[#This Row],[Elapsed]],0))</f>
        <v/>
      </c>
      <c r="I45" s="135"/>
      <c r="J45" s="135"/>
      <c r="K45" s="102"/>
      <c r="L45" s="105" t="str">
        <f>IF(OR(ISBLANK(Term2_Day_2[[#This Row],[Start]]),ISBLANK(Term2_Day_2[[#This Row],[End]])),"",(Term2_Day_2[[#This Row],[End]]-Term2_Day_2[[#This Row],[Start]])*1440)</f>
        <v/>
      </c>
      <c r="M45" s="105" t="str">
        <f>IF(ISBLANK(Term2_Day_2[[#This Row],[Activity]]),"",IF(_xlfn.XLOOKUP(Term2_Day_2[[#This Row],[Activity]],Types_of_Activity[Type of Activity],Types_of_Activity[Classification])=1,Term2_Day_2[[#This Row],[Elapsed]],0))</f>
        <v/>
      </c>
      <c r="N45" s="105" t="str">
        <f>IF(ISBLANK(Term2_Day_2[[#This Row],[Activity]]),"",IF(_xlfn.XLOOKUP(Term2_Day_2[[#This Row],[Activity]],Types_of_Activity[Type of Activity],Types_of_Activity[Classification])=2,Term2_Day_2[[#This Row],[Elapsed]],0))</f>
        <v/>
      </c>
      <c r="P45" s="135"/>
      <c r="Q45" s="135"/>
      <c r="R45" s="102"/>
      <c r="S45" s="105" t="str">
        <f>IF(OR(ISBLANK(Term2_Day_3[[#This Row],[Start]]),ISBLANK(Term2_Day_3[[#This Row],[End]])),"",(Term2_Day_3[[#This Row],[End]]-Term2_Day_3[[#This Row],[Start]])*1440)</f>
        <v/>
      </c>
      <c r="T45" s="105" t="str">
        <f>IF(ISBLANK(Term2_Day_3[[#This Row],[Activity]]),"",IF(_xlfn.XLOOKUP(Term2_Day_3[[#This Row],[Activity]],Types_of_Activity[Type of Activity],Types_of_Activity[Classification])=1,Term2_Day_3[[#This Row],[Elapsed]],0))</f>
        <v/>
      </c>
      <c r="U45" s="105" t="str">
        <f>IF(ISBLANK(Term2_Day_3[[#This Row],[Activity]]),"",IF(_xlfn.XLOOKUP(Term2_Day_3[[#This Row],[Activity]],Types_of_Activity[Type of Activity],Types_of_Activity[Classification])=2,Term2_Day_3[[#This Row],[Elapsed]],0))</f>
        <v/>
      </c>
      <c r="W45" s="135"/>
      <c r="X45" s="135"/>
      <c r="Y45" s="102"/>
      <c r="Z45" s="105" t="str">
        <f>IF(OR(ISBLANK(Term2_Day_4[[#This Row],[Start]]),ISBLANK(Term2_Day_4[[#This Row],[End]])),"",(Term2_Day_4[[#This Row],[End]]-Term2_Day_4[[#This Row],[Start]])*1440)</f>
        <v/>
      </c>
      <c r="AA45" s="105" t="str">
        <f>IF(ISBLANK(Term2_Day_4[[#This Row],[Activity]]),"",IF(_xlfn.XLOOKUP(Term2_Day_4[[#This Row],[Activity]],Types_of_Activity[Type of Activity],Types_of_Activity[Classification])=1,Term2_Day_4[[#This Row],[Elapsed]],0))</f>
        <v/>
      </c>
      <c r="AB45" s="105" t="str">
        <f>IF(ISBLANK(Term2_Day_4[[#This Row],[Activity]]),"",IF(_xlfn.XLOOKUP(Term2_Day_4[[#This Row],[Activity]],Types_of_Activity[Type of Activity],Types_of_Activity[Classification])=2,Term2_Day_4[[#This Row],[Elapsed]],0))</f>
        <v/>
      </c>
      <c r="AD45" s="135"/>
      <c r="AE45" s="135"/>
      <c r="AF45" s="102"/>
      <c r="AG45" s="105" t="str">
        <f>IF(OR(ISBLANK(Term2_Day_5[[#This Row],[Start]]),ISBLANK(Term2_Day_5[[#This Row],[End]])),"",(Term2_Day_5[[#This Row],[End]]-Term2_Day_5[[#This Row],[Start]])*1440)</f>
        <v/>
      </c>
      <c r="AH45" s="105" t="str">
        <f>IF(ISBLANK(Term2_Day_5[[#This Row],[Activity]]),"",IF(_xlfn.XLOOKUP(Term2_Day_5[[#This Row],[Activity]],Types_of_Activity[Type of Activity],Types_of_Activity[Classification])=1,Term2_Day_5[[#This Row],[Elapsed]],0))</f>
        <v/>
      </c>
      <c r="AI45" s="105" t="str">
        <f>IF(ISBLANK(Term2_Day_5[[#This Row],[Activity]]),"",IF(_xlfn.XLOOKUP(Term2_Day_5[[#This Row],[Activity]],Types_of_Activity[Type of Activity],Types_of_Activity[Classification])=2,Term2_Day_5[[#This Row],[Elapsed]],0))</f>
        <v/>
      </c>
      <c r="AJ45" s="106"/>
      <c r="AK45" s="135"/>
      <c r="AL45" s="135"/>
      <c r="AM45" s="102"/>
      <c r="AN45" s="105" t="str">
        <f>IF(OR(ISBLANK(Term2_Day_6[[#This Row],[Start]]),ISBLANK(Term2_Day_6[[#This Row],[End]])),"",(Term2_Day_6[[#This Row],[End]]-Term2_Day_6[[#This Row],[Start]])*1440)</f>
        <v/>
      </c>
      <c r="AO45" s="105" t="str">
        <f>IF(ISBLANK(Term2_Day_6[[#This Row],[Activity]]),"",IF(_xlfn.XLOOKUP(Term2_Day_6[[#This Row],[Activity]],Types_of_Activity[Type of Activity],Types_of_Activity[Classification])=1,Term2_Day_6[[#This Row],[Elapsed]],0))</f>
        <v/>
      </c>
      <c r="AP45" s="105" t="str">
        <f>IF(ISBLANK(Term2_Day_6[[#This Row],[Activity]]),"",IF(_xlfn.XLOOKUP(Term2_Day_6[[#This Row],[Activity]],Types_of_Activity[Type of Activity],Types_of_Activity[Classification])=2,Term2_Day_6[[#This Row],[Elapsed]],0))</f>
        <v/>
      </c>
      <c r="AQ45" s="106"/>
      <c r="AR45" s="135"/>
      <c r="AS45" s="135"/>
      <c r="AT45" s="102"/>
      <c r="AU45" s="105" t="str">
        <f>IF(OR(ISBLANK(Term2_Day_7[[#This Row],[Start]]),ISBLANK(Term2_Day_7[[#This Row],[End]])),"",(Term2_Day_7[[#This Row],[End]]-Term2_Day_7[[#This Row],[Start]])*1440)</f>
        <v/>
      </c>
      <c r="AV45" s="105" t="str">
        <f>IF(ISBLANK(Term2_Day_7[[#This Row],[Activity]]),"",IF(_xlfn.XLOOKUP(Term2_Day_7[[#This Row],[Activity]],Types_of_Activity[Type of Activity],Types_of_Activity[Classification])=1,Term2_Day_7[[#This Row],[Elapsed]],0))</f>
        <v/>
      </c>
      <c r="AW45" s="105" t="str">
        <f>IF(ISBLANK(Term2_Day_7[[#This Row],[Activity]]),"",IF(_xlfn.XLOOKUP(Term2_Day_7[[#This Row],[Activity]],Types_of_Activity[Type of Activity],Types_of_Activity[Classification])=2,Term2_Day_7[[#This Row],[Elapsed]],0))</f>
        <v/>
      </c>
      <c r="AX45" s="106"/>
      <c r="AY45" s="135"/>
      <c r="AZ45" s="135"/>
      <c r="BA45" s="102"/>
      <c r="BB45" s="105" t="str">
        <f>IF(OR(ISBLANK(Term2_Day_8[[#This Row],[Start]]),ISBLANK(Term2_Day_8[[#This Row],[End]])),"",(Term2_Day_8[[#This Row],[End]]-Term2_Day_8[[#This Row],[Start]])*1440)</f>
        <v/>
      </c>
      <c r="BC45" s="105" t="str">
        <f>IF(ISBLANK(Term2_Day_8[[#This Row],[Activity]]),"",IF(_xlfn.XLOOKUP(Term2_Day_8[[#This Row],[Activity]],Types_of_Activity[Type of Activity],Types_of_Activity[Classification])=1,Term2_Day_8[[#This Row],[Elapsed]],0))</f>
        <v/>
      </c>
      <c r="BD45" s="105" t="str">
        <f>IF(ISBLANK(Term2_Day_8[[#This Row],[Activity]]),"",IF(_xlfn.XLOOKUP(Term2_Day_8[[#This Row],[Activity]],Types_of_Activity[Type of Activity],Types_of_Activity[Classification])=2,Term2_Day_8[[#This Row],[Elapsed]],0))</f>
        <v/>
      </c>
      <c r="BE45" s="106"/>
      <c r="BF45" s="135"/>
      <c r="BG45" s="135"/>
      <c r="BH45" s="102"/>
      <c r="BI45" s="105" t="str">
        <f>IF(OR(ISBLANK(Term2_Day_9[[#This Row],[Start]]),ISBLANK(Term2_Day_9[[#This Row],[End]])),"",(Term2_Day_9[[#This Row],[End]]-Term2_Day_9[[#This Row],[Start]])*1440)</f>
        <v/>
      </c>
      <c r="BJ45" s="105" t="str">
        <f>IF(ISBLANK(Term2_Day_9[[#This Row],[Activity]]),"",IF(_xlfn.XLOOKUP(Term2_Day_9[[#This Row],[Activity]],Types_of_Activity[Type of Activity],Types_of_Activity[Classification])=1,Term2_Day_9[[#This Row],[Elapsed]],0))</f>
        <v/>
      </c>
      <c r="BK45" s="105" t="str">
        <f>IF(ISBLANK(Term2_Day_9[[#This Row],[Activity]]),"",IF(_xlfn.XLOOKUP(Term2_Day_9[[#This Row],[Activity]],Types_of_Activity[Type of Activity],Types_of_Activity[Classification])=2,Term2_Day_9[[#This Row],[Elapsed]],0))</f>
        <v/>
      </c>
      <c r="BL45" s="106"/>
      <c r="BM45" s="135"/>
      <c r="BN45" s="135"/>
      <c r="BO45" s="102"/>
      <c r="BP45" s="105" t="str">
        <f>IF(OR(ISBLANK(Term2_Day_10[[#This Row],[Start]]),ISBLANK(Term2_Day_10[[#This Row],[End]])),"",(Term2_Day_10[[#This Row],[End]]-Term2_Day_10[[#This Row],[Start]])*1440)</f>
        <v/>
      </c>
      <c r="BQ45" s="105" t="str">
        <f>IF(ISBLANK(Term2_Day_10[[#This Row],[Activity]]),"",IF(_xlfn.XLOOKUP(Term2_Day_10[[#This Row],[Activity]],Types_of_Activity[Type of Activity],Types_of_Activity[Classification])=1,Term2_Day_10[[#This Row],[Elapsed]],0))</f>
        <v/>
      </c>
      <c r="BR45" s="105" t="str">
        <f>IF(ISBLANK(Term2_Day_10[[#This Row],[Activity]]),"",IF(_xlfn.XLOOKUP(Term2_Day_10[[#This Row],[Activity]],Types_of_Activity[Type of Activity],Types_of_Activity[Classification])=2,Term2_Day_10[[#This Row],[Elapsed]],0))</f>
        <v/>
      </c>
      <c r="BS45" s="106"/>
    </row>
    <row r="46" spans="2:71" x14ac:dyDescent="0.3">
      <c r="B46" s="135"/>
      <c r="C46" s="135"/>
      <c r="D46" s="102"/>
      <c r="E46" s="105" t="str">
        <f>IF(OR(ISBLANK(Term2_Day_1[[#This Row],[Start]]),ISBLANK(Term2_Day_1[[#This Row],[End]])),"",(Term2_Day_1[[#This Row],[End]]-Term2_Day_1[[#This Row],[Start]])*1440)</f>
        <v/>
      </c>
      <c r="F46" s="105" t="str">
        <f>IF(ISBLANK(Term2_Day_1[[#This Row],[Activity]]),"",IF(_xlfn.XLOOKUP(Term2_Day_1[[#This Row],[Activity]],Types_of_Activity[Type of Activity],Types_of_Activity[Classification])=1,Term2_Day_1[[#This Row],[Elapsed]],0))</f>
        <v/>
      </c>
      <c r="G46" s="105" t="str">
        <f>IF(ISBLANK(Term2_Day_1[[#This Row],[Activity]]),"",IF(_xlfn.XLOOKUP(Term2_Day_1[[#This Row],[Activity]],Types_of_Activity[Type of Activity],Types_of_Activity[Classification])=2,Term2_Day_1[[#This Row],[Elapsed]],0))</f>
        <v/>
      </c>
      <c r="I46" s="135"/>
      <c r="J46" s="135"/>
      <c r="K46" s="102"/>
      <c r="L46" s="105" t="str">
        <f>IF(OR(ISBLANK(Term2_Day_2[[#This Row],[Start]]),ISBLANK(Term2_Day_2[[#This Row],[End]])),"",(Term2_Day_2[[#This Row],[End]]-Term2_Day_2[[#This Row],[Start]])*1440)</f>
        <v/>
      </c>
      <c r="M46" s="105" t="str">
        <f>IF(ISBLANK(Term2_Day_2[[#This Row],[Activity]]),"",IF(_xlfn.XLOOKUP(Term2_Day_2[[#This Row],[Activity]],Types_of_Activity[Type of Activity],Types_of_Activity[Classification])=1,Term2_Day_2[[#This Row],[Elapsed]],0))</f>
        <v/>
      </c>
      <c r="N46" s="105" t="str">
        <f>IF(ISBLANK(Term2_Day_2[[#This Row],[Activity]]),"",IF(_xlfn.XLOOKUP(Term2_Day_2[[#This Row],[Activity]],Types_of_Activity[Type of Activity],Types_of_Activity[Classification])=2,Term2_Day_2[[#This Row],[Elapsed]],0))</f>
        <v/>
      </c>
      <c r="P46" s="135"/>
      <c r="Q46" s="135"/>
      <c r="R46" s="102"/>
      <c r="S46" s="105" t="str">
        <f>IF(OR(ISBLANK(Term2_Day_3[[#This Row],[Start]]),ISBLANK(Term2_Day_3[[#This Row],[End]])),"",(Term2_Day_3[[#This Row],[End]]-Term2_Day_3[[#This Row],[Start]])*1440)</f>
        <v/>
      </c>
      <c r="T46" s="105" t="str">
        <f>IF(ISBLANK(Term2_Day_3[[#This Row],[Activity]]),"",IF(_xlfn.XLOOKUP(Term2_Day_3[[#This Row],[Activity]],Types_of_Activity[Type of Activity],Types_of_Activity[Classification])=1,Term2_Day_3[[#This Row],[Elapsed]],0))</f>
        <v/>
      </c>
      <c r="U46" s="105" t="str">
        <f>IF(ISBLANK(Term2_Day_3[[#This Row],[Activity]]),"",IF(_xlfn.XLOOKUP(Term2_Day_3[[#This Row],[Activity]],Types_of_Activity[Type of Activity],Types_of_Activity[Classification])=2,Term2_Day_3[[#This Row],[Elapsed]],0))</f>
        <v/>
      </c>
      <c r="W46" s="135"/>
      <c r="X46" s="135"/>
      <c r="Y46" s="102"/>
      <c r="Z46" s="105" t="str">
        <f>IF(OR(ISBLANK(Term2_Day_4[[#This Row],[Start]]),ISBLANK(Term2_Day_4[[#This Row],[End]])),"",(Term2_Day_4[[#This Row],[End]]-Term2_Day_4[[#This Row],[Start]])*1440)</f>
        <v/>
      </c>
      <c r="AA46" s="105" t="str">
        <f>IF(ISBLANK(Term2_Day_4[[#This Row],[Activity]]),"",IF(_xlfn.XLOOKUP(Term2_Day_4[[#This Row],[Activity]],Types_of_Activity[Type of Activity],Types_of_Activity[Classification])=1,Term2_Day_4[[#This Row],[Elapsed]],0))</f>
        <v/>
      </c>
      <c r="AB46" s="105" t="str">
        <f>IF(ISBLANK(Term2_Day_4[[#This Row],[Activity]]),"",IF(_xlfn.XLOOKUP(Term2_Day_4[[#This Row],[Activity]],Types_of_Activity[Type of Activity],Types_of_Activity[Classification])=2,Term2_Day_4[[#This Row],[Elapsed]],0))</f>
        <v/>
      </c>
      <c r="AD46" s="135"/>
      <c r="AE46" s="135"/>
      <c r="AF46" s="102"/>
      <c r="AG46" s="105" t="str">
        <f>IF(OR(ISBLANK(Term2_Day_5[[#This Row],[Start]]),ISBLANK(Term2_Day_5[[#This Row],[End]])),"",(Term2_Day_5[[#This Row],[End]]-Term2_Day_5[[#This Row],[Start]])*1440)</f>
        <v/>
      </c>
      <c r="AH46" s="105" t="str">
        <f>IF(ISBLANK(Term2_Day_5[[#This Row],[Activity]]),"",IF(_xlfn.XLOOKUP(Term2_Day_5[[#This Row],[Activity]],Types_of_Activity[Type of Activity],Types_of_Activity[Classification])=1,Term2_Day_5[[#This Row],[Elapsed]],0))</f>
        <v/>
      </c>
      <c r="AI46" s="105" t="str">
        <f>IF(ISBLANK(Term2_Day_5[[#This Row],[Activity]]),"",IF(_xlfn.XLOOKUP(Term2_Day_5[[#This Row],[Activity]],Types_of_Activity[Type of Activity],Types_of_Activity[Classification])=2,Term2_Day_5[[#This Row],[Elapsed]],0))</f>
        <v/>
      </c>
      <c r="AJ46" s="106"/>
      <c r="AK46" s="135"/>
      <c r="AL46" s="135"/>
      <c r="AM46" s="102"/>
      <c r="AN46" s="105" t="str">
        <f>IF(OR(ISBLANK(Term2_Day_6[[#This Row],[Start]]),ISBLANK(Term2_Day_6[[#This Row],[End]])),"",(Term2_Day_6[[#This Row],[End]]-Term2_Day_6[[#This Row],[Start]])*1440)</f>
        <v/>
      </c>
      <c r="AO46" s="105" t="str">
        <f>IF(ISBLANK(Term2_Day_6[[#This Row],[Activity]]),"",IF(_xlfn.XLOOKUP(Term2_Day_6[[#This Row],[Activity]],Types_of_Activity[Type of Activity],Types_of_Activity[Classification])=1,Term2_Day_6[[#This Row],[Elapsed]],0))</f>
        <v/>
      </c>
      <c r="AP46" s="105" t="str">
        <f>IF(ISBLANK(Term2_Day_6[[#This Row],[Activity]]),"",IF(_xlfn.XLOOKUP(Term2_Day_6[[#This Row],[Activity]],Types_of_Activity[Type of Activity],Types_of_Activity[Classification])=2,Term2_Day_6[[#This Row],[Elapsed]],0))</f>
        <v/>
      </c>
      <c r="AQ46" s="106"/>
      <c r="AR46" s="135"/>
      <c r="AS46" s="135"/>
      <c r="AT46" s="102"/>
      <c r="AU46" s="105" t="str">
        <f>IF(OR(ISBLANK(Term2_Day_7[[#This Row],[Start]]),ISBLANK(Term2_Day_7[[#This Row],[End]])),"",(Term2_Day_7[[#This Row],[End]]-Term2_Day_7[[#This Row],[Start]])*1440)</f>
        <v/>
      </c>
      <c r="AV46" s="105" t="str">
        <f>IF(ISBLANK(Term2_Day_7[[#This Row],[Activity]]),"",IF(_xlfn.XLOOKUP(Term2_Day_7[[#This Row],[Activity]],Types_of_Activity[Type of Activity],Types_of_Activity[Classification])=1,Term2_Day_7[[#This Row],[Elapsed]],0))</f>
        <v/>
      </c>
      <c r="AW46" s="105" t="str">
        <f>IF(ISBLANK(Term2_Day_7[[#This Row],[Activity]]),"",IF(_xlfn.XLOOKUP(Term2_Day_7[[#This Row],[Activity]],Types_of_Activity[Type of Activity],Types_of_Activity[Classification])=2,Term2_Day_7[[#This Row],[Elapsed]],0))</f>
        <v/>
      </c>
      <c r="AX46" s="106"/>
      <c r="AY46" s="135"/>
      <c r="AZ46" s="135"/>
      <c r="BA46" s="102"/>
      <c r="BB46" s="105" t="str">
        <f>IF(OR(ISBLANK(Term2_Day_8[[#This Row],[Start]]),ISBLANK(Term2_Day_8[[#This Row],[End]])),"",(Term2_Day_8[[#This Row],[End]]-Term2_Day_8[[#This Row],[Start]])*1440)</f>
        <v/>
      </c>
      <c r="BC46" s="105" t="str">
        <f>IF(ISBLANK(Term2_Day_8[[#This Row],[Activity]]),"",IF(_xlfn.XLOOKUP(Term2_Day_8[[#This Row],[Activity]],Types_of_Activity[Type of Activity],Types_of_Activity[Classification])=1,Term2_Day_8[[#This Row],[Elapsed]],0))</f>
        <v/>
      </c>
      <c r="BD46" s="105" t="str">
        <f>IF(ISBLANK(Term2_Day_8[[#This Row],[Activity]]),"",IF(_xlfn.XLOOKUP(Term2_Day_8[[#This Row],[Activity]],Types_of_Activity[Type of Activity],Types_of_Activity[Classification])=2,Term2_Day_8[[#This Row],[Elapsed]],0))</f>
        <v/>
      </c>
      <c r="BE46" s="106"/>
      <c r="BF46" s="135"/>
      <c r="BG46" s="135"/>
      <c r="BH46" s="102"/>
      <c r="BI46" s="105" t="str">
        <f>IF(OR(ISBLANK(Term2_Day_9[[#This Row],[Start]]),ISBLANK(Term2_Day_9[[#This Row],[End]])),"",(Term2_Day_9[[#This Row],[End]]-Term2_Day_9[[#This Row],[Start]])*1440)</f>
        <v/>
      </c>
      <c r="BJ46" s="105" t="str">
        <f>IF(ISBLANK(Term2_Day_9[[#This Row],[Activity]]),"",IF(_xlfn.XLOOKUP(Term2_Day_9[[#This Row],[Activity]],Types_of_Activity[Type of Activity],Types_of_Activity[Classification])=1,Term2_Day_9[[#This Row],[Elapsed]],0))</f>
        <v/>
      </c>
      <c r="BK46" s="105" t="str">
        <f>IF(ISBLANK(Term2_Day_9[[#This Row],[Activity]]),"",IF(_xlfn.XLOOKUP(Term2_Day_9[[#This Row],[Activity]],Types_of_Activity[Type of Activity],Types_of_Activity[Classification])=2,Term2_Day_9[[#This Row],[Elapsed]],0))</f>
        <v/>
      </c>
      <c r="BL46" s="106"/>
      <c r="BM46" s="135"/>
      <c r="BN46" s="135"/>
      <c r="BO46" s="102"/>
      <c r="BP46" s="105" t="str">
        <f>IF(OR(ISBLANK(Term2_Day_10[[#This Row],[Start]]),ISBLANK(Term2_Day_10[[#This Row],[End]])),"",(Term2_Day_10[[#This Row],[End]]-Term2_Day_10[[#This Row],[Start]])*1440)</f>
        <v/>
      </c>
      <c r="BQ46" s="105" t="str">
        <f>IF(ISBLANK(Term2_Day_10[[#This Row],[Activity]]),"",IF(_xlfn.XLOOKUP(Term2_Day_10[[#This Row],[Activity]],Types_of_Activity[Type of Activity],Types_of_Activity[Classification])=1,Term2_Day_10[[#This Row],[Elapsed]],0))</f>
        <v/>
      </c>
      <c r="BR46" s="105" t="str">
        <f>IF(ISBLANK(Term2_Day_10[[#This Row],[Activity]]),"",IF(_xlfn.XLOOKUP(Term2_Day_10[[#This Row],[Activity]],Types_of_Activity[Type of Activity],Types_of_Activity[Classification])=2,Term2_Day_10[[#This Row],[Elapsed]],0))</f>
        <v/>
      </c>
      <c r="BS46" s="106"/>
    </row>
    <row r="47" spans="2:71" x14ac:dyDescent="0.3">
      <c r="B47" s="135"/>
      <c r="C47" s="135"/>
      <c r="D47" s="102"/>
      <c r="E47" s="105" t="str">
        <f>IF(OR(ISBLANK(Term2_Day_1[[#This Row],[Start]]),ISBLANK(Term2_Day_1[[#This Row],[End]])),"",(Term2_Day_1[[#This Row],[End]]-Term2_Day_1[[#This Row],[Start]])*1440)</f>
        <v/>
      </c>
      <c r="F47" s="105" t="str">
        <f>IF(ISBLANK(Term2_Day_1[[#This Row],[Activity]]),"",IF(_xlfn.XLOOKUP(Term2_Day_1[[#This Row],[Activity]],Types_of_Activity[Type of Activity],Types_of_Activity[Classification])=1,Term2_Day_1[[#This Row],[Elapsed]],0))</f>
        <v/>
      </c>
      <c r="G47" s="105" t="str">
        <f>IF(ISBLANK(Term2_Day_1[[#This Row],[Activity]]),"",IF(_xlfn.XLOOKUP(Term2_Day_1[[#This Row],[Activity]],Types_of_Activity[Type of Activity],Types_of_Activity[Classification])=2,Term2_Day_1[[#This Row],[Elapsed]],0))</f>
        <v/>
      </c>
      <c r="I47" s="135"/>
      <c r="J47" s="135"/>
      <c r="K47" s="102"/>
      <c r="L47" s="105" t="str">
        <f>IF(OR(ISBLANK(Term2_Day_2[[#This Row],[Start]]),ISBLANK(Term2_Day_2[[#This Row],[End]])),"",(Term2_Day_2[[#This Row],[End]]-Term2_Day_2[[#This Row],[Start]])*1440)</f>
        <v/>
      </c>
      <c r="M47" s="105" t="str">
        <f>IF(ISBLANK(Term2_Day_2[[#This Row],[Activity]]),"",IF(_xlfn.XLOOKUP(Term2_Day_2[[#This Row],[Activity]],Types_of_Activity[Type of Activity],Types_of_Activity[Classification])=1,Term2_Day_2[[#This Row],[Elapsed]],0))</f>
        <v/>
      </c>
      <c r="N47" s="105" t="str">
        <f>IF(ISBLANK(Term2_Day_2[[#This Row],[Activity]]),"",IF(_xlfn.XLOOKUP(Term2_Day_2[[#This Row],[Activity]],Types_of_Activity[Type of Activity],Types_of_Activity[Classification])=2,Term2_Day_2[[#This Row],[Elapsed]],0))</f>
        <v/>
      </c>
      <c r="P47" s="135"/>
      <c r="Q47" s="135"/>
      <c r="R47" s="102"/>
      <c r="S47" s="105" t="str">
        <f>IF(OR(ISBLANK(Term2_Day_3[[#This Row],[Start]]),ISBLANK(Term2_Day_3[[#This Row],[End]])),"",(Term2_Day_3[[#This Row],[End]]-Term2_Day_3[[#This Row],[Start]])*1440)</f>
        <v/>
      </c>
      <c r="T47" s="105" t="str">
        <f>IF(ISBLANK(Term2_Day_3[[#This Row],[Activity]]),"",IF(_xlfn.XLOOKUP(Term2_Day_3[[#This Row],[Activity]],Types_of_Activity[Type of Activity],Types_of_Activity[Classification])=1,Term2_Day_3[[#This Row],[Elapsed]],0))</f>
        <v/>
      </c>
      <c r="U47" s="105" t="str">
        <f>IF(ISBLANK(Term2_Day_3[[#This Row],[Activity]]),"",IF(_xlfn.XLOOKUP(Term2_Day_3[[#This Row],[Activity]],Types_of_Activity[Type of Activity],Types_of_Activity[Classification])=2,Term2_Day_3[[#This Row],[Elapsed]],0))</f>
        <v/>
      </c>
      <c r="W47" s="135"/>
      <c r="X47" s="135"/>
      <c r="Y47" s="102"/>
      <c r="Z47" s="105" t="str">
        <f>IF(OR(ISBLANK(Term2_Day_4[[#This Row],[Start]]),ISBLANK(Term2_Day_4[[#This Row],[End]])),"",(Term2_Day_4[[#This Row],[End]]-Term2_Day_4[[#This Row],[Start]])*1440)</f>
        <v/>
      </c>
      <c r="AA47" s="105" t="str">
        <f>IF(ISBLANK(Term2_Day_4[[#This Row],[Activity]]),"",IF(_xlfn.XLOOKUP(Term2_Day_4[[#This Row],[Activity]],Types_of_Activity[Type of Activity],Types_of_Activity[Classification])=1,Term2_Day_4[[#This Row],[Elapsed]],0))</f>
        <v/>
      </c>
      <c r="AB47" s="105" t="str">
        <f>IF(ISBLANK(Term2_Day_4[[#This Row],[Activity]]),"",IF(_xlfn.XLOOKUP(Term2_Day_4[[#This Row],[Activity]],Types_of_Activity[Type of Activity],Types_of_Activity[Classification])=2,Term2_Day_4[[#This Row],[Elapsed]],0))</f>
        <v/>
      </c>
      <c r="AD47" s="135"/>
      <c r="AE47" s="135"/>
      <c r="AF47" s="102"/>
      <c r="AG47" s="105" t="str">
        <f>IF(OR(ISBLANK(Term2_Day_5[[#This Row],[Start]]),ISBLANK(Term2_Day_5[[#This Row],[End]])),"",(Term2_Day_5[[#This Row],[End]]-Term2_Day_5[[#This Row],[Start]])*1440)</f>
        <v/>
      </c>
      <c r="AH47" s="105" t="str">
        <f>IF(ISBLANK(Term2_Day_5[[#This Row],[Activity]]),"",IF(_xlfn.XLOOKUP(Term2_Day_5[[#This Row],[Activity]],Types_of_Activity[Type of Activity],Types_of_Activity[Classification])=1,Term2_Day_5[[#This Row],[Elapsed]],0))</f>
        <v/>
      </c>
      <c r="AI47" s="105" t="str">
        <f>IF(ISBLANK(Term2_Day_5[[#This Row],[Activity]]),"",IF(_xlfn.XLOOKUP(Term2_Day_5[[#This Row],[Activity]],Types_of_Activity[Type of Activity],Types_of_Activity[Classification])=2,Term2_Day_5[[#This Row],[Elapsed]],0))</f>
        <v/>
      </c>
      <c r="AJ47" s="106"/>
      <c r="AK47" s="135"/>
      <c r="AL47" s="135"/>
      <c r="AM47" s="102"/>
      <c r="AN47" s="105" t="str">
        <f>IF(OR(ISBLANK(Term2_Day_6[[#This Row],[Start]]),ISBLANK(Term2_Day_6[[#This Row],[End]])),"",(Term2_Day_6[[#This Row],[End]]-Term2_Day_6[[#This Row],[Start]])*1440)</f>
        <v/>
      </c>
      <c r="AO47" s="105" t="str">
        <f>IF(ISBLANK(Term2_Day_6[[#This Row],[Activity]]),"",IF(_xlfn.XLOOKUP(Term2_Day_6[[#This Row],[Activity]],Types_of_Activity[Type of Activity],Types_of_Activity[Classification])=1,Term2_Day_6[[#This Row],[Elapsed]],0))</f>
        <v/>
      </c>
      <c r="AP47" s="105" t="str">
        <f>IF(ISBLANK(Term2_Day_6[[#This Row],[Activity]]),"",IF(_xlfn.XLOOKUP(Term2_Day_6[[#This Row],[Activity]],Types_of_Activity[Type of Activity],Types_of_Activity[Classification])=2,Term2_Day_6[[#This Row],[Elapsed]],0))</f>
        <v/>
      </c>
      <c r="AQ47" s="106"/>
      <c r="AR47" s="135"/>
      <c r="AS47" s="135"/>
      <c r="AT47" s="102"/>
      <c r="AU47" s="105" t="str">
        <f>IF(OR(ISBLANK(Term2_Day_7[[#This Row],[Start]]),ISBLANK(Term2_Day_7[[#This Row],[End]])),"",(Term2_Day_7[[#This Row],[End]]-Term2_Day_7[[#This Row],[Start]])*1440)</f>
        <v/>
      </c>
      <c r="AV47" s="105" t="str">
        <f>IF(ISBLANK(Term2_Day_7[[#This Row],[Activity]]),"",IF(_xlfn.XLOOKUP(Term2_Day_7[[#This Row],[Activity]],Types_of_Activity[Type of Activity],Types_of_Activity[Classification])=1,Term2_Day_7[[#This Row],[Elapsed]],0))</f>
        <v/>
      </c>
      <c r="AW47" s="105" t="str">
        <f>IF(ISBLANK(Term2_Day_7[[#This Row],[Activity]]),"",IF(_xlfn.XLOOKUP(Term2_Day_7[[#This Row],[Activity]],Types_of_Activity[Type of Activity],Types_of_Activity[Classification])=2,Term2_Day_7[[#This Row],[Elapsed]],0))</f>
        <v/>
      </c>
      <c r="AX47" s="106"/>
      <c r="AY47" s="135"/>
      <c r="AZ47" s="135"/>
      <c r="BA47" s="102"/>
      <c r="BB47" s="105" t="str">
        <f>IF(OR(ISBLANK(Term2_Day_8[[#This Row],[Start]]),ISBLANK(Term2_Day_8[[#This Row],[End]])),"",(Term2_Day_8[[#This Row],[End]]-Term2_Day_8[[#This Row],[Start]])*1440)</f>
        <v/>
      </c>
      <c r="BC47" s="105" t="str">
        <f>IF(ISBLANK(Term2_Day_8[[#This Row],[Activity]]),"",IF(_xlfn.XLOOKUP(Term2_Day_8[[#This Row],[Activity]],Types_of_Activity[Type of Activity],Types_of_Activity[Classification])=1,Term2_Day_8[[#This Row],[Elapsed]],0))</f>
        <v/>
      </c>
      <c r="BD47" s="105" t="str">
        <f>IF(ISBLANK(Term2_Day_8[[#This Row],[Activity]]),"",IF(_xlfn.XLOOKUP(Term2_Day_8[[#This Row],[Activity]],Types_of_Activity[Type of Activity],Types_of_Activity[Classification])=2,Term2_Day_8[[#This Row],[Elapsed]],0))</f>
        <v/>
      </c>
      <c r="BE47" s="106"/>
      <c r="BF47" s="135"/>
      <c r="BG47" s="135"/>
      <c r="BH47" s="102"/>
      <c r="BI47" s="105" t="str">
        <f>IF(OR(ISBLANK(Term2_Day_9[[#This Row],[Start]]),ISBLANK(Term2_Day_9[[#This Row],[End]])),"",(Term2_Day_9[[#This Row],[End]]-Term2_Day_9[[#This Row],[Start]])*1440)</f>
        <v/>
      </c>
      <c r="BJ47" s="105" t="str">
        <f>IF(ISBLANK(Term2_Day_9[[#This Row],[Activity]]),"",IF(_xlfn.XLOOKUP(Term2_Day_9[[#This Row],[Activity]],Types_of_Activity[Type of Activity],Types_of_Activity[Classification])=1,Term2_Day_9[[#This Row],[Elapsed]],0))</f>
        <v/>
      </c>
      <c r="BK47" s="105" t="str">
        <f>IF(ISBLANK(Term2_Day_9[[#This Row],[Activity]]),"",IF(_xlfn.XLOOKUP(Term2_Day_9[[#This Row],[Activity]],Types_of_Activity[Type of Activity],Types_of_Activity[Classification])=2,Term2_Day_9[[#This Row],[Elapsed]],0))</f>
        <v/>
      </c>
      <c r="BL47" s="106"/>
      <c r="BM47" s="135"/>
      <c r="BN47" s="135"/>
      <c r="BO47" s="102"/>
      <c r="BP47" s="105" t="str">
        <f>IF(OR(ISBLANK(Term2_Day_10[[#This Row],[Start]]),ISBLANK(Term2_Day_10[[#This Row],[End]])),"",(Term2_Day_10[[#This Row],[End]]-Term2_Day_10[[#This Row],[Start]])*1440)</f>
        <v/>
      </c>
      <c r="BQ47" s="105" t="str">
        <f>IF(ISBLANK(Term2_Day_10[[#This Row],[Activity]]),"",IF(_xlfn.XLOOKUP(Term2_Day_10[[#This Row],[Activity]],Types_of_Activity[Type of Activity],Types_of_Activity[Classification])=1,Term2_Day_10[[#This Row],[Elapsed]],0))</f>
        <v/>
      </c>
      <c r="BR47" s="105" t="str">
        <f>IF(ISBLANK(Term2_Day_10[[#This Row],[Activity]]),"",IF(_xlfn.XLOOKUP(Term2_Day_10[[#This Row],[Activity]],Types_of_Activity[Type of Activity],Types_of_Activity[Classification])=2,Term2_Day_10[[#This Row],[Elapsed]],0))</f>
        <v/>
      </c>
      <c r="BS47" s="106"/>
    </row>
    <row r="48" spans="2:71" x14ac:dyDescent="0.3">
      <c r="B48" s="135"/>
      <c r="C48" s="135"/>
      <c r="D48" s="102"/>
      <c r="E48" s="105" t="str">
        <f>IF(OR(ISBLANK(Term2_Day_1[[#This Row],[Start]]),ISBLANK(Term2_Day_1[[#This Row],[End]])),"",(Term2_Day_1[[#This Row],[End]]-Term2_Day_1[[#This Row],[Start]])*1440)</f>
        <v/>
      </c>
      <c r="F48" s="105" t="str">
        <f>IF(ISBLANK(Term2_Day_1[[#This Row],[Activity]]),"",IF(_xlfn.XLOOKUP(Term2_Day_1[[#This Row],[Activity]],Types_of_Activity[Type of Activity],Types_of_Activity[Classification])=1,Term2_Day_1[[#This Row],[Elapsed]],0))</f>
        <v/>
      </c>
      <c r="G48" s="105" t="str">
        <f>IF(ISBLANK(Term2_Day_1[[#This Row],[Activity]]),"",IF(_xlfn.XLOOKUP(Term2_Day_1[[#This Row],[Activity]],Types_of_Activity[Type of Activity],Types_of_Activity[Classification])=2,Term2_Day_1[[#This Row],[Elapsed]],0))</f>
        <v/>
      </c>
      <c r="I48" s="135"/>
      <c r="J48" s="135"/>
      <c r="K48" s="102"/>
      <c r="L48" s="105" t="str">
        <f>IF(OR(ISBLANK(Term2_Day_2[[#This Row],[Start]]),ISBLANK(Term2_Day_2[[#This Row],[End]])),"",(Term2_Day_2[[#This Row],[End]]-Term2_Day_2[[#This Row],[Start]])*1440)</f>
        <v/>
      </c>
      <c r="M48" s="105" t="str">
        <f>IF(ISBLANK(Term2_Day_2[[#This Row],[Activity]]),"",IF(_xlfn.XLOOKUP(Term2_Day_2[[#This Row],[Activity]],Types_of_Activity[Type of Activity],Types_of_Activity[Classification])=1,Term2_Day_2[[#This Row],[Elapsed]],0))</f>
        <v/>
      </c>
      <c r="N48" s="105" t="str">
        <f>IF(ISBLANK(Term2_Day_2[[#This Row],[Activity]]),"",IF(_xlfn.XLOOKUP(Term2_Day_2[[#This Row],[Activity]],Types_of_Activity[Type of Activity],Types_of_Activity[Classification])=2,Term2_Day_2[[#This Row],[Elapsed]],0))</f>
        <v/>
      </c>
      <c r="P48" s="135"/>
      <c r="Q48" s="135"/>
      <c r="R48" s="102"/>
      <c r="S48" s="105" t="str">
        <f>IF(OR(ISBLANK(Term2_Day_3[[#This Row],[Start]]),ISBLANK(Term2_Day_3[[#This Row],[End]])),"",(Term2_Day_3[[#This Row],[End]]-Term2_Day_3[[#This Row],[Start]])*1440)</f>
        <v/>
      </c>
      <c r="T48" s="105" t="str">
        <f>IF(ISBLANK(Term2_Day_3[[#This Row],[Activity]]),"",IF(_xlfn.XLOOKUP(Term2_Day_3[[#This Row],[Activity]],Types_of_Activity[Type of Activity],Types_of_Activity[Classification])=1,Term2_Day_3[[#This Row],[Elapsed]],0))</f>
        <v/>
      </c>
      <c r="U48" s="105" t="str">
        <f>IF(ISBLANK(Term2_Day_3[[#This Row],[Activity]]),"",IF(_xlfn.XLOOKUP(Term2_Day_3[[#This Row],[Activity]],Types_of_Activity[Type of Activity],Types_of_Activity[Classification])=2,Term2_Day_3[[#This Row],[Elapsed]],0))</f>
        <v/>
      </c>
      <c r="W48" s="135"/>
      <c r="X48" s="135"/>
      <c r="Y48" s="102"/>
      <c r="Z48" s="105" t="str">
        <f>IF(OR(ISBLANK(Term2_Day_4[[#This Row],[Start]]),ISBLANK(Term2_Day_4[[#This Row],[End]])),"",(Term2_Day_4[[#This Row],[End]]-Term2_Day_4[[#This Row],[Start]])*1440)</f>
        <v/>
      </c>
      <c r="AA48" s="105" t="str">
        <f>IF(ISBLANK(Term2_Day_4[[#This Row],[Activity]]),"",IF(_xlfn.XLOOKUP(Term2_Day_4[[#This Row],[Activity]],Types_of_Activity[Type of Activity],Types_of_Activity[Classification])=1,Term2_Day_4[[#This Row],[Elapsed]],0))</f>
        <v/>
      </c>
      <c r="AB48" s="105" t="str">
        <f>IF(ISBLANK(Term2_Day_4[[#This Row],[Activity]]),"",IF(_xlfn.XLOOKUP(Term2_Day_4[[#This Row],[Activity]],Types_of_Activity[Type of Activity],Types_of_Activity[Classification])=2,Term2_Day_4[[#This Row],[Elapsed]],0))</f>
        <v/>
      </c>
      <c r="AD48" s="135"/>
      <c r="AE48" s="135"/>
      <c r="AF48" s="102"/>
      <c r="AG48" s="105" t="str">
        <f>IF(OR(ISBLANK(Term2_Day_5[[#This Row],[Start]]),ISBLANK(Term2_Day_5[[#This Row],[End]])),"",(Term2_Day_5[[#This Row],[End]]-Term2_Day_5[[#This Row],[Start]])*1440)</f>
        <v/>
      </c>
      <c r="AH48" s="105" t="str">
        <f>IF(ISBLANK(Term2_Day_5[[#This Row],[Activity]]),"",IF(_xlfn.XLOOKUP(Term2_Day_5[[#This Row],[Activity]],Types_of_Activity[Type of Activity],Types_of_Activity[Classification])=1,Term2_Day_5[[#This Row],[Elapsed]],0))</f>
        <v/>
      </c>
      <c r="AI48" s="105" t="str">
        <f>IF(ISBLANK(Term2_Day_5[[#This Row],[Activity]]),"",IF(_xlfn.XLOOKUP(Term2_Day_5[[#This Row],[Activity]],Types_of_Activity[Type of Activity],Types_of_Activity[Classification])=2,Term2_Day_5[[#This Row],[Elapsed]],0))</f>
        <v/>
      </c>
      <c r="AJ48" s="106"/>
      <c r="AK48" s="135"/>
      <c r="AL48" s="135"/>
      <c r="AM48" s="102"/>
      <c r="AN48" s="105" t="str">
        <f>IF(OR(ISBLANK(Term2_Day_6[[#This Row],[Start]]),ISBLANK(Term2_Day_6[[#This Row],[End]])),"",(Term2_Day_6[[#This Row],[End]]-Term2_Day_6[[#This Row],[Start]])*1440)</f>
        <v/>
      </c>
      <c r="AO48" s="105" t="str">
        <f>IF(ISBLANK(Term2_Day_6[[#This Row],[Activity]]),"",IF(_xlfn.XLOOKUP(Term2_Day_6[[#This Row],[Activity]],Types_of_Activity[Type of Activity],Types_of_Activity[Classification])=1,Term2_Day_6[[#This Row],[Elapsed]],0))</f>
        <v/>
      </c>
      <c r="AP48" s="105" t="str">
        <f>IF(ISBLANK(Term2_Day_6[[#This Row],[Activity]]),"",IF(_xlfn.XLOOKUP(Term2_Day_6[[#This Row],[Activity]],Types_of_Activity[Type of Activity],Types_of_Activity[Classification])=2,Term2_Day_6[[#This Row],[Elapsed]],0))</f>
        <v/>
      </c>
      <c r="AQ48" s="106"/>
      <c r="AR48" s="135"/>
      <c r="AS48" s="135"/>
      <c r="AT48" s="102"/>
      <c r="AU48" s="105" t="str">
        <f>IF(OR(ISBLANK(Term2_Day_7[[#This Row],[Start]]),ISBLANK(Term2_Day_7[[#This Row],[End]])),"",(Term2_Day_7[[#This Row],[End]]-Term2_Day_7[[#This Row],[Start]])*1440)</f>
        <v/>
      </c>
      <c r="AV48" s="105" t="str">
        <f>IF(ISBLANK(Term2_Day_7[[#This Row],[Activity]]),"",IF(_xlfn.XLOOKUP(Term2_Day_7[[#This Row],[Activity]],Types_of_Activity[Type of Activity],Types_of_Activity[Classification])=1,Term2_Day_7[[#This Row],[Elapsed]],0))</f>
        <v/>
      </c>
      <c r="AW48" s="105" t="str">
        <f>IF(ISBLANK(Term2_Day_7[[#This Row],[Activity]]),"",IF(_xlfn.XLOOKUP(Term2_Day_7[[#This Row],[Activity]],Types_of_Activity[Type of Activity],Types_of_Activity[Classification])=2,Term2_Day_7[[#This Row],[Elapsed]],0))</f>
        <v/>
      </c>
      <c r="AX48" s="106"/>
      <c r="AY48" s="135"/>
      <c r="AZ48" s="135"/>
      <c r="BA48" s="102"/>
      <c r="BB48" s="105" t="str">
        <f>IF(OR(ISBLANK(Term2_Day_8[[#This Row],[Start]]),ISBLANK(Term2_Day_8[[#This Row],[End]])),"",(Term2_Day_8[[#This Row],[End]]-Term2_Day_8[[#This Row],[Start]])*1440)</f>
        <v/>
      </c>
      <c r="BC48" s="105" t="str">
        <f>IF(ISBLANK(Term2_Day_8[[#This Row],[Activity]]),"",IF(_xlfn.XLOOKUP(Term2_Day_8[[#This Row],[Activity]],Types_of_Activity[Type of Activity],Types_of_Activity[Classification])=1,Term2_Day_8[[#This Row],[Elapsed]],0))</f>
        <v/>
      </c>
      <c r="BD48" s="105" t="str">
        <f>IF(ISBLANK(Term2_Day_8[[#This Row],[Activity]]),"",IF(_xlfn.XLOOKUP(Term2_Day_8[[#This Row],[Activity]],Types_of_Activity[Type of Activity],Types_of_Activity[Classification])=2,Term2_Day_8[[#This Row],[Elapsed]],0))</f>
        <v/>
      </c>
      <c r="BE48" s="106"/>
      <c r="BF48" s="135"/>
      <c r="BG48" s="135"/>
      <c r="BH48" s="102"/>
      <c r="BI48" s="105" t="str">
        <f>IF(OR(ISBLANK(Term2_Day_9[[#This Row],[Start]]),ISBLANK(Term2_Day_9[[#This Row],[End]])),"",(Term2_Day_9[[#This Row],[End]]-Term2_Day_9[[#This Row],[Start]])*1440)</f>
        <v/>
      </c>
      <c r="BJ48" s="105" t="str">
        <f>IF(ISBLANK(Term2_Day_9[[#This Row],[Activity]]),"",IF(_xlfn.XLOOKUP(Term2_Day_9[[#This Row],[Activity]],Types_of_Activity[Type of Activity],Types_of_Activity[Classification])=1,Term2_Day_9[[#This Row],[Elapsed]],0))</f>
        <v/>
      </c>
      <c r="BK48" s="105" t="str">
        <f>IF(ISBLANK(Term2_Day_9[[#This Row],[Activity]]),"",IF(_xlfn.XLOOKUP(Term2_Day_9[[#This Row],[Activity]],Types_of_Activity[Type of Activity],Types_of_Activity[Classification])=2,Term2_Day_9[[#This Row],[Elapsed]],0))</f>
        <v/>
      </c>
      <c r="BL48" s="106"/>
      <c r="BM48" s="135"/>
      <c r="BN48" s="135"/>
      <c r="BO48" s="102"/>
      <c r="BP48" s="105" t="str">
        <f>IF(OR(ISBLANK(Term2_Day_10[[#This Row],[Start]]),ISBLANK(Term2_Day_10[[#This Row],[End]])),"",(Term2_Day_10[[#This Row],[End]]-Term2_Day_10[[#This Row],[Start]])*1440)</f>
        <v/>
      </c>
      <c r="BQ48" s="105" t="str">
        <f>IF(ISBLANK(Term2_Day_10[[#This Row],[Activity]]),"",IF(_xlfn.XLOOKUP(Term2_Day_10[[#This Row],[Activity]],Types_of_Activity[Type of Activity],Types_of_Activity[Classification])=1,Term2_Day_10[[#This Row],[Elapsed]],0))</f>
        <v/>
      </c>
      <c r="BR48" s="105" t="str">
        <f>IF(ISBLANK(Term2_Day_10[[#This Row],[Activity]]),"",IF(_xlfn.XLOOKUP(Term2_Day_10[[#This Row],[Activity]],Types_of_Activity[Type of Activity],Types_of_Activity[Classification])=2,Term2_Day_10[[#This Row],[Elapsed]],0))</f>
        <v/>
      </c>
      <c r="BS48" s="106"/>
    </row>
    <row r="49" spans="2:71" x14ac:dyDescent="0.3">
      <c r="B49" s="135"/>
      <c r="C49" s="135"/>
      <c r="D49" s="102"/>
      <c r="E49" s="105" t="str">
        <f>IF(OR(ISBLANK(Term2_Day_1[[#This Row],[Start]]),ISBLANK(Term2_Day_1[[#This Row],[End]])),"",(Term2_Day_1[[#This Row],[End]]-Term2_Day_1[[#This Row],[Start]])*1440)</f>
        <v/>
      </c>
      <c r="F49" s="105" t="str">
        <f>IF(ISBLANK(Term2_Day_1[[#This Row],[Activity]]),"",IF(_xlfn.XLOOKUP(Term2_Day_1[[#This Row],[Activity]],Types_of_Activity[Type of Activity],Types_of_Activity[Classification])=1,Term2_Day_1[[#This Row],[Elapsed]],0))</f>
        <v/>
      </c>
      <c r="G49" s="105" t="str">
        <f>IF(ISBLANK(Term2_Day_1[[#This Row],[Activity]]),"",IF(_xlfn.XLOOKUP(Term2_Day_1[[#This Row],[Activity]],Types_of_Activity[Type of Activity],Types_of_Activity[Classification])=2,Term2_Day_1[[#This Row],[Elapsed]],0))</f>
        <v/>
      </c>
      <c r="I49" s="135"/>
      <c r="J49" s="135"/>
      <c r="K49" s="102"/>
      <c r="L49" s="105" t="str">
        <f>IF(OR(ISBLANK(Term2_Day_2[[#This Row],[Start]]),ISBLANK(Term2_Day_2[[#This Row],[End]])),"",(Term2_Day_2[[#This Row],[End]]-Term2_Day_2[[#This Row],[Start]])*1440)</f>
        <v/>
      </c>
      <c r="M49" s="105" t="str">
        <f>IF(ISBLANK(Term2_Day_2[[#This Row],[Activity]]),"",IF(_xlfn.XLOOKUP(Term2_Day_2[[#This Row],[Activity]],Types_of_Activity[Type of Activity],Types_of_Activity[Classification])=1,Term2_Day_2[[#This Row],[Elapsed]],0))</f>
        <v/>
      </c>
      <c r="N49" s="105" t="str">
        <f>IF(ISBLANK(Term2_Day_2[[#This Row],[Activity]]),"",IF(_xlfn.XLOOKUP(Term2_Day_2[[#This Row],[Activity]],Types_of_Activity[Type of Activity],Types_of_Activity[Classification])=2,Term2_Day_2[[#This Row],[Elapsed]],0))</f>
        <v/>
      </c>
      <c r="P49" s="135"/>
      <c r="Q49" s="135"/>
      <c r="R49" s="102"/>
      <c r="S49" s="105" t="str">
        <f>IF(OR(ISBLANK(Term2_Day_3[[#This Row],[Start]]),ISBLANK(Term2_Day_3[[#This Row],[End]])),"",(Term2_Day_3[[#This Row],[End]]-Term2_Day_3[[#This Row],[Start]])*1440)</f>
        <v/>
      </c>
      <c r="T49" s="105" t="str">
        <f>IF(ISBLANK(Term2_Day_3[[#This Row],[Activity]]),"",IF(_xlfn.XLOOKUP(Term2_Day_3[[#This Row],[Activity]],Types_of_Activity[Type of Activity],Types_of_Activity[Classification])=1,Term2_Day_3[[#This Row],[Elapsed]],0))</f>
        <v/>
      </c>
      <c r="U49" s="105" t="str">
        <f>IF(ISBLANK(Term2_Day_3[[#This Row],[Activity]]),"",IF(_xlfn.XLOOKUP(Term2_Day_3[[#This Row],[Activity]],Types_of_Activity[Type of Activity],Types_of_Activity[Classification])=2,Term2_Day_3[[#This Row],[Elapsed]],0))</f>
        <v/>
      </c>
      <c r="W49" s="135"/>
      <c r="X49" s="135"/>
      <c r="Y49" s="102"/>
      <c r="Z49" s="105" t="str">
        <f>IF(OR(ISBLANK(Term2_Day_4[[#This Row],[Start]]),ISBLANK(Term2_Day_4[[#This Row],[End]])),"",(Term2_Day_4[[#This Row],[End]]-Term2_Day_4[[#This Row],[Start]])*1440)</f>
        <v/>
      </c>
      <c r="AA49" s="105" t="str">
        <f>IF(ISBLANK(Term2_Day_4[[#This Row],[Activity]]),"",IF(_xlfn.XLOOKUP(Term2_Day_4[[#This Row],[Activity]],Types_of_Activity[Type of Activity],Types_of_Activity[Classification])=1,Term2_Day_4[[#This Row],[Elapsed]],0))</f>
        <v/>
      </c>
      <c r="AB49" s="105" t="str">
        <f>IF(ISBLANK(Term2_Day_4[[#This Row],[Activity]]),"",IF(_xlfn.XLOOKUP(Term2_Day_4[[#This Row],[Activity]],Types_of_Activity[Type of Activity],Types_of_Activity[Classification])=2,Term2_Day_4[[#This Row],[Elapsed]],0))</f>
        <v/>
      </c>
      <c r="AD49" s="135"/>
      <c r="AE49" s="135"/>
      <c r="AF49" s="102"/>
      <c r="AG49" s="105" t="str">
        <f>IF(OR(ISBLANK(Term2_Day_5[[#This Row],[Start]]),ISBLANK(Term2_Day_5[[#This Row],[End]])),"",(Term2_Day_5[[#This Row],[End]]-Term2_Day_5[[#This Row],[Start]])*1440)</f>
        <v/>
      </c>
      <c r="AH49" s="105" t="str">
        <f>IF(ISBLANK(Term2_Day_5[[#This Row],[Activity]]),"",IF(_xlfn.XLOOKUP(Term2_Day_5[[#This Row],[Activity]],Types_of_Activity[Type of Activity],Types_of_Activity[Classification])=1,Term2_Day_5[[#This Row],[Elapsed]],0))</f>
        <v/>
      </c>
      <c r="AI49" s="105" t="str">
        <f>IF(ISBLANK(Term2_Day_5[[#This Row],[Activity]]),"",IF(_xlfn.XLOOKUP(Term2_Day_5[[#This Row],[Activity]],Types_of_Activity[Type of Activity],Types_of_Activity[Classification])=2,Term2_Day_5[[#This Row],[Elapsed]],0))</f>
        <v/>
      </c>
      <c r="AJ49" s="106"/>
      <c r="AK49" s="135"/>
      <c r="AL49" s="135"/>
      <c r="AM49" s="102"/>
      <c r="AN49" s="105" t="str">
        <f>IF(OR(ISBLANK(Term2_Day_6[[#This Row],[Start]]),ISBLANK(Term2_Day_6[[#This Row],[End]])),"",(Term2_Day_6[[#This Row],[End]]-Term2_Day_6[[#This Row],[Start]])*1440)</f>
        <v/>
      </c>
      <c r="AO49" s="105" t="str">
        <f>IF(ISBLANK(Term2_Day_6[[#This Row],[Activity]]),"",IF(_xlfn.XLOOKUP(Term2_Day_6[[#This Row],[Activity]],Types_of_Activity[Type of Activity],Types_of_Activity[Classification])=1,Term2_Day_6[[#This Row],[Elapsed]],0))</f>
        <v/>
      </c>
      <c r="AP49" s="105" t="str">
        <f>IF(ISBLANK(Term2_Day_6[[#This Row],[Activity]]),"",IF(_xlfn.XLOOKUP(Term2_Day_6[[#This Row],[Activity]],Types_of_Activity[Type of Activity],Types_of_Activity[Classification])=2,Term2_Day_6[[#This Row],[Elapsed]],0))</f>
        <v/>
      </c>
      <c r="AQ49" s="106"/>
      <c r="AR49" s="135"/>
      <c r="AS49" s="135"/>
      <c r="AT49" s="102"/>
      <c r="AU49" s="105" t="str">
        <f>IF(OR(ISBLANK(Term2_Day_7[[#This Row],[Start]]),ISBLANK(Term2_Day_7[[#This Row],[End]])),"",(Term2_Day_7[[#This Row],[End]]-Term2_Day_7[[#This Row],[Start]])*1440)</f>
        <v/>
      </c>
      <c r="AV49" s="105" t="str">
        <f>IF(ISBLANK(Term2_Day_7[[#This Row],[Activity]]),"",IF(_xlfn.XLOOKUP(Term2_Day_7[[#This Row],[Activity]],Types_of_Activity[Type of Activity],Types_of_Activity[Classification])=1,Term2_Day_7[[#This Row],[Elapsed]],0))</f>
        <v/>
      </c>
      <c r="AW49" s="105" t="str">
        <f>IF(ISBLANK(Term2_Day_7[[#This Row],[Activity]]),"",IF(_xlfn.XLOOKUP(Term2_Day_7[[#This Row],[Activity]],Types_of_Activity[Type of Activity],Types_of_Activity[Classification])=2,Term2_Day_7[[#This Row],[Elapsed]],0))</f>
        <v/>
      </c>
      <c r="AX49" s="106"/>
      <c r="AY49" s="135"/>
      <c r="AZ49" s="135"/>
      <c r="BA49" s="102"/>
      <c r="BB49" s="105" t="str">
        <f>IF(OR(ISBLANK(Term2_Day_8[[#This Row],[Start]]),ISBLANK(Term2_Day_8[[#This Row],[End]])),"",(Term2_Day_8[[#This Row],[End]]-Term2_Day_8[[#This Row],[Start]])*1440)</f>
        <v/>
      </c>
      <c r="BC49" s="105" t="str">
        <f>IF(ISBLANK(Term2_Day_8[[#This Row],[Activity]]),"",IF(_xlfn.XLOOKUP(Term2_Day_8[[#This Row],[Activity]],Types_of_Activity[Type of Activity],Types_of_Activity[Classification])=1,Term2_Day_8[[#This Row],[Elapsed]],0))</f>
        <v/>
      </c>
      <c r="BD49" s="105" t="str">
        <f>IF(ISBLANK(Term2_Day_8[[#This Row],[Activity]]),"",IF(_xlfn.XLOOKUP(Term2_Day_8[[#This Row],[Activity]],Types_of_Activity[Type of Activity],Types_of_Activity[Classification])=2,Term2_Day_8[[#This Row],[Elapsed]],0))</f>
        <v/>
      </c>
      <c r="BE49" s="106"/>
      <c r="BF49" s="135"/>
      <c r="BG49" s="135"/>
      <c r="BH49" s="102"/>
      <c r="BI49" s="105" t="str">
        <f>IF(OR(ISBLANK(Term2_Day_9[[#This Row],[Start]]),ISBLANK(Term2_Day_9[[#This Row],[End]])),"",(Term2_Day_9[[#This Row],[End]]-Term2_Day_9[[#This Row],[Start]])*1440)</f>
        <v/>
      </c>
      <c r="BJ49" s="105" t="str">
        <f>IF(ISBLANK(Term2_Day_9[[#This Row],[Activity]]),"",IF(_xlfn.XLOOKUP(Term2_Day_9[[#This Row],[Activity]],Types_of_Activity[Type of Activity],Types_of_Activity[Classification])=1,Term2_Day_9[[#This Row],[Elapsed]],0))</f>
        <v/>
      </c>
      <c r="BK49" s="105" t="str">
        <f>IF(ISBLANK(Term2_Day_9[[#This Row],[Activity]]),"",IF(_xlfn.XLOOKUP(Term2_Day_9[[#This Row],[Activity]],Types_of_Activity[Type of Activity],Types_of_Activity[Classification])=2,Term2_Day_9[[#This Row],[Elapsed]],0))</f>
        <v/>
      </c>
      <c r="BL49" s="106"/>
      <c r="BM49" s="135"/>
      <c r="BN49" s="135"/>
      <c r="BO49" s="102"/>
      <c r="BP49" s="105" t="str">
        <f>IF(OR(ISBLANK(Term2_Day_10[[#This Row],[Start]]),ISBLANK(Term2_Day_10[[#This Row],[End]])),"",(Term2_Day_10[[#This Row],[End]]-Term2_Day_10[[#This Row],[Start]])*1440)</f>
        <v/>
      </c>
      <c r="BQ49" s="105" t="str">
        <f>IF(ISBLANK(Term2_Day_10[[#This Row],[Activity]]),"",IF(_xlfn.XLOOKUP(Term2_Day_10[[#This Row],[Activity]],Types_of_Activity[Type of Activity],Types_of_Activity[Classification])=1,Term2_Day_10[[#This Row],[Elapsed]],0))</f>
        <v/>
      </c>
      <c r="BR49" s="105" t="str">
        <f>IF(ISBLANK(Term2_Day_10[[#This Row],[Activity]]),"",IF(_xlfn.XLOOKUP(Term2_Day_10[[#This Row],[Activity]],Types_of_Activity[Type of Activity],Types_of_Activity[Classification])=2,Term2_Day_10[[#This Row],[Elapsed]],0))</f>
        <v/>
      </c>
      <c r="BS49" s="106"/>
    </row>
    <row r="50" spans="2:71" x14ac:dyDescent="0.3">
      <c r="B50" s="135"/>
      <c r="C50" s="135"/>
      <c r="D50" s="102"/>
      <c r="E50" s="105" t="str">
        <f>IF(OR(ISBLANK(Term2_Day_1[[#This Row],[Start]]),ISBLANK(Term2_Day_1[[#This Row],[End]])),"",(Term2_Day_1[[#This Row],[End]]-Term2_Day_1[[#This Row],[Start]])*1440)</f>
        <v/>
      </c>
      <c r="F50" s="105" t="str">
        <f>IF(ISBLANK(Term2_Day_1[[#This Row],[Activity]]),"",IF(_xlfn.XLOOKUP(Term2_Day_1[[#This Row],[Activity]],Types_of_Activity[Type of Activity],Types_of_Activity[Classification])=1,Term2_Day_1[[#This Row],[Elapsed]],0))</f>
        <v/>
      </c>
      <c r="G50" s="105" t="str">
        <f>IF(ISBLANK(Term2_Day_1[[#This Row],[Activity]]),"",IF(_xlfn.XLOOKUP(Term2_Day_1[[#This Row],[Activity]],Types_of_Activity[Type of Activity],Types_of_Activity[Classification])=2,Term2_Day_1[[#This Row],[Elapsed]],0))</f>
        <v/>
      </c>
      <c r="I50" s="135"/>
      <c r="J50" s="135"/>
      <c r="K50" s="102"/>
      <c r="L50" s="105" t="str">
        <f>IF(OR(ISBLANK(Term2_Day_2[[#This Row],[Start]]),ISBLANK(Term2_Day_2[[#This Row],[End]])),"",(Term2_Day_2[[#This Row],[End]]-Term2_Day_2[[#This Row],[Start]])*1440)</f>
        <v/>
      </c>
      <c r="M50" s="105" t="str">
        <f>IF(ISBLANK(Term2_Day_2[[#This Row],[Activity]]),"",IF(_xlfn.XLOOKUP(Term2_Day_2[[#This Row],[Activity]],Types_of_Activity[Type of Activity],Types_of_Activity[Classification])=1,Term2_Day_2[[#This Row],[Elapsed]],0))</f>
        <v/>
      </c>
      <c r="N50" s="105" t="str">
        <f>IF(ISBLANK(Term2_Day_2[[#This Row],[Activity]]),"",IF(_xlfn.XLOOKUP(Term2_Day_2[[#This Row],[Activity]],Types_of_Activity[Type of Activity],Types_of_Activity[Classification])=2,Term2_Day_2[[#This Row],[Elapsed]],0))</f>
        <v/>
      </c>
      <c r="P50" s="135"/>
      <c r="Q50" s="135"/>
      <c r="R50" s="102"/>
      <c r="S50" s="105" t="str">
        <f>IF(OR(ISBLANK(Term2_Day_3[[#This Row],[Start]]),ISBLANK(Term2_Day_3[[#This Row],[End]])),"",(Term2_Day_3[[#This Row],[End]]-Term2_Day_3[[#This Row],[Start]])*1440)</f>
        <v/>
      </c>
      <c r="T50" s="105" t="str">
        <f>IF(ISBLANK(Term2_Day_3[[#This Row],[Activity]]),"",IF(_xlfn.XLOOKUP(Term2_Day_3[[#This Row],[Activity]],Types_of_Activity[Type of Activity],Types_of_Activity[Classification])=1,Term2_Day_3[[#This Row],[Elapsed]],0))</f>
        <v/>
      </c>
      <c r="U50" s="105" t="str">
        <f>IF(ISBLANK(Term2_Day_3[[#This Row],[Activity]]),"",IF(_xlfn.XLOOKUP(Term2_Day_3[[#This Row],[Activity]],Types_of_Activity[Type of Activity],Types_of_Activity[Classification])=2,Term2_Day_3[[#This Row],[Elapsed]],0))</f>
        <v/>
      </c>
      <c r="W50" s="135"/>
      <c r="X50" s="135"/>
      <c r="Y50" s="102"/>
      <c r="Z50" s="105" t="str">
        <f>IF(OR(ISBLANK(Term2_Day_4[[#This Row],[Start]]),ISBLANK(Term2_Day_4[[#This Row],[End]])),"",(Term2_Day_4[[#This Row],[End]]-Term2_Day_4[[#This Row],[Start]])*1440)</f>
        <v/>
      </c>
      <c r="AA50" s="105" t="str">
        <f>IF(ISBLANK(Term2_Day_4[[#This Row],[Activity]]),"",IF(_xlfn.XLOOKUP(Term2_Day_4[[#This Row],[Activity]],Types_of_Activity[Type of Activity],Types_of_Activity[Classification])=1,Term2_Day_4[[#This Row],[Elapsed]],0))</f>
        <v/>
      </c>
      <c r="AB50" s="105" t="str">
        <f>IF(ISBLANK(Term2_Day_4[[#This Row],[Activity]]),"",IF(_xlfn.XLOOKUP(Term2_Day_4[[#This Row],[Activity]],Types_of_Activity[Type of Activity],Types_of_Activity[Classification])=2,Term2_Day_4[[#This Row],[Elapsed]],0))</f>
        <v/>
      </c>
      <c r="AD50" s="135"/>
      <c r="AE50" s="135"/>
      <c r="AF50" s="102"/>
      <c r="AG50" s="105" t="str">
        <f>IF(OR(ISBLANK(Term2_Day_5[[#This Row],[Start]]),ISBLANK(Term2_Day_5[[#This Row],[End]])),"",(Term2_Day_5[[#This Row],[End]]-Term2_Day_5[[#This Row],[Start]])*1440)</f>
        <v/>
      </c>
      <c r="AH50" s="105" t="str">
        <f>IF(ISBLANK(Term2_Day_5[[#This Row],[Activity]]),"",IF(_xlfn.XLOOKUP(Term2_Day_5[[#This Row],[Activity]],Types_of_Activity[Type of Activity],Types_of_Activity[Classification])=1,Term2_Day_5[[#This Row],[Elapsed]],0))</f>
        <v/>
      </c>
      <c r="AI50" s="105" t="str">
        <f>IF(ISBLANK(Term2_Day_5[[#This Row],[Activity]]),"",IF(_xlfn.XLOOKUP(Term2_Day_5[[#This Row],[Activity]],Types_of_Activity[Type of Activity],Types_of_Activity[Classification])=2,Term2_Day_5[[#This Row],[Elapsed]],0))</f>
        <v/>
      </c>
      <c r="AJ50" s="106"/>
      <c r="AK50" s="135"/>
      <c r="AL50" s="135"/>
      <c r="AM50" s="102"/>
      <c r="AN50" s="105" t="str">
        <f>IF(OR(ISBLANK(Term2_Day_6[[#This Row],[Start]]),ISBLANK(Term2_Day_6[[#This Row],[End]])),"",(Term2_Day_6[[#This Row],[End]]-Term2_Day_6[[#This Row],[Start]])*1440)</f>
        <v/>
      </c>
      <c r="AO50" s="105" t="str">
        <f>IF(ISBLANK(Term2_Day_6[[#This Row],[Activity]]),"",IF(_xlfn.XLOOKUP(Term2_Day_6[[#This Row],[Activity]],Types_of_Activity[Type of Activity],Types_of_Activity[Classification])=1,Term2_Day_6[[#This Row],[Elapsed]],0))</f>
        <v/>
      </c>
      <c r="AP50" s="105" t="str">
        <f>IF(ISBLANK(Term2_Day_6[[#This Row],[Activity]]),"",IF(_xlfn.XLOOKUP(Term2_Day_6[[#This Row],[Activity]],Types_of_Activity[Type of Activity],Types_of_Activity[Classification])=2,Term2_Day_6[[#This Row],[Elapsed]],0))</f>
        <v/>
      </c>
      <c r="AQ50" s="106"/>
      <c r="AR50" s="135"/>
      <c r="AS50" s="135"/>
      <c r="AT50" s="102"/>
      <c r="AU50" s="105" t="str">
        <f>IF(OR(ISBLANK(Term2_Day_7[[#This Row],[Start]]),ISBLANK(Term2_Day_7[[#This Row],[End]])),"",(Term2_Day_7[[#This Row],[End]]-Term2_Day_7[[#This Row],[Start]])*1440)</f>
        <v/>
      </c>
      <c r="AV50" s="105" t="str">
        <f>IF(ISBLANK(Term2_Day_7[[#This Row],[Activity]]),"",IF(_xlfn.XLOOKUP(Term2_Day_7[[#This Row],[Activity]],Types_of_Activity[Type of Activity],Types_of_Activity[Classification])=1,Term2_Day_7[[#This Row],[Elapsed]],0))</f>
        <v/>
      </c>
      <c r="AW50" s="105" t="str">
        <f>IF(ISBLANK(Term2_Day_7[[#This Row],[Activity]]),"",IF(_xlfn.XLOOKUP(Term2_Day_7[[#This Row],[Activity]],Types_of_Activity[Type of Activity],Types_of_Activity[Classification])=2,Term2_Day_7[[#This Row],[Elapsed]],0))</f>
        <v/>
      </c>
      <c r="AX50" s="106"/>
      <c r="AY50" s="135"/>
      <c r="AZ50" s="135"/>
      <c r="BA50" s="102"/>
      <c r="BB50" s="105" t="str">
        <f>IF(OR(ISBLANK(Term2_Day_8[[#This Row],[Start]]),ISBLANK(Term2_Day_8[[#This Row],[End]])),"",(Term2_Day_8[[#This Row],[End]]-Term2_Day_8[[#This Row],[Start]])*1440)</f>
        <v/>
      </c>
      <c r="BC50" s="105" t="str">
        <f>IF(ISBLANK(Term2_Day_8[[#This Row],[Activity]]),"",IF(_xlfn.XLOOKUP(Term2_Day_8[[#This Row],[Activity]],Types_of_Activity[Type of Activity],Types_of_Activity[Classification])=1,Term2_Day_8[[#This Row],[Elapsed]],0))</f>
        <v/>
      </c>
      <c r="BD50" s="105" t="str">
        <f>IF(ISBLANK(Term2_Day_8[[#This Row],[Activity]]),"",IF(_xlfn.XLOOKUP(Term2_Day_8[[#This Row],[Activity]],Types_of_Activity[Type of Activity],Types_of_Activity[Classification])=2,Term2_Day_8[[#This Row],[Elapsed]],0))</f>
        <v/>
      </c>
      <c r="BE50" s="106"/>
      <c r="BF50" s="135"/>
      <c r="BG50" s="135"/>
      <c r="BH50" s="102"/>
      <c r="BI50" s="105" t="str">
        <f>IF(OR(ISBLANK(Term2_Day_9[[#This Row],[Start]]),ISBLANK(Term2_Day_9[[#This Row],[End]])),"",(Term2_Day_9[[#This Row],[End]]-Term2_Day_9[[#This Row],[Start]])*1440)</f>
        <v/>
      </c>
      <c r="BJ50" s="105" t="str">
        <f>IF(ISBLANK(Term2_Day_9[[#This Row],[Activity]]),"",IF(_xlfn.XLOOKUP(Term2_Day_9[[#This Row],[Activity]],Types_of_Activity[Type of Activity],Types_of_Activity[Classification])=1,Term2_Day_9[[#This Row],[Elapsed]],0))</f>
        <v/>
      </c>
      <c r="BK50" s="105" t="str">
        <f>IF(ISBLANK(Term2_Day_9[[#This Row],[Activity]]),"",IF(_xlfn.XLOOKUP(Term2_Day_9[[#This Row],[Activity]],Types_of_Activity[Type of Activity],Types_of_Activity[Classification])=2,Term2_Day_9[[#This Row],[Elapsed]],0))</f>
        <v/>
      </c>
      <c r="BL50" s="106"/>
      <c r="BM50" s="135"/>
      <c r="BN50" s="135"/>
      <c r="BO50" s="102"/>
      <c r="BP50" s="105" t="str">
        <f>IF(OR(ISBLANK(Term2_Day_10[[#This Row],[Start]]),ISBLANK(Term2_Day_10[[#This Row],[End]])),"",(Term2_Day_10[[#This Row],[End]]-Term2_Day_10[[#This Row],[Start]])*1440)</f>
        <v/>
      </c>
      <c r="BQ50" s="105" t="str">
        <f>IF(ISBLANK(Term2_Day_10[[#This Row],[Activity]]),"",IF(_xlfn.XLOOKUP(Term2_Day_10[[#This Row],[Activity]],Types_of_Activity[Type of Activity],Types_of_Activity[Classification])=1,Term2_Day_10[[#This Row],[Elapsed]],0))</f>
        <v/>
      </c>
      <c r="BR50" s="105" t="str">
        <f>IF(ISBLANK(Term2_Day_10[[#This Row],[Activity]]),"",IF(_xlfn.XLOOKUP(Term2_Day_10[[#This Row],[Activity]],Types_of_Activity[Type of Activity],Types_of_Activity[Classification])=2,Term2_Day_10[[#This Row],[Elapsed]],0))</f>
        <v/>
      </c>
      <c r="BS50" s="106"/>
    </row>
    <row r="55" spans="2:71" ht="30.6" x14ac:dyDescent="0.55000000000000004">
      <c r="B55" s="104" t="s">
        <v>22</v>
      </c>
      <c r="F55" s="105"/>
      <c r="G55" s="105"/>
      <c r="H55"/>
      <c r="I55" s="104" t="s">
        <v>23</v>
      </c>
      <c r="M55" s="105"/>
      <c r="N55" s="105"/>
      <c r="O55"/>
      <c r="P55" s="104" t="s">
        <v>24</v>
      </c>
      <c r="T55" s="105"/>
      <c r="U55" s="105"/>
      <c r="W55" s="104" t="s">
        <v>4108</v>
      </c>
      <c r="AA55" s="105"/>
      <c r="AB55" s="105"/>
      <c r="AD55" s="104" t="s">
        <v>4109</v>
      </c>
      <c r="AH55" s="105"/>
      <c r="AI55" s="105"/>
      <c r="AK55" s="104" t="s">
        <v>4110</v>
      </c>
      <c r="AO55" s="105"/>
      <c r="AP55" s="105"/>
    </row>
    <row r="56" spans="2:71" ht="28.8" x14ac:dyDescent="0.3">
      <c r="B56" s="119" t="s">
        <v>16</v>
      </c>
      <c r="C56" s="119" t="s">
        <v>17</v>
      </c>
      <c r="D56" s="119" t="s">
        <v>19</v>
      </c>
      <c r="E56" s="119" t="s">
        <v>18</v>
      </c>
      <c r="F56" s="119" t="s">
        <v>20</v>
      </c>
      <c r="G56" s="120" t="s">
        <v>4075</v>
      </c>
      <c r="H56"/>
      <c r="I56" s="119" t="s">
        <v>16</v>
      </c>
      <c r="J56" s="119" t="s">
        <v>17</v>
      </c>
      <c r="K56" s="119" t="s">
        <v>19</v>
      </c>
      <c r="L56" s="119" t="s">
        <v>18</v>
      </c>
      <c r="M56" s="119" t="s">
        <v>20</v>
      </c>
      <c r="N56" s="120" t="s">
        <v>4075</v>
      </c>
      <c r="O56"/>
      <c r="P56" s="119" t="s">
        <v>16</v>
      </c>
      <c r="Q56" s="119" t="s">
        <v>17</v>
      </c>
      <c r="R56" s="119" t="s">
        <v>19</v>
      </c>
      <c r="S56" s="119" t="s">
        <v>18</v>
      </c>
      <c r="T56" s="119" t="s">
        <v>20</v>
      </c>
      <c r="U56" s="120" t="s">
        <v>4075</v>
      </c>
      <c r="W56" s="119" t="s">
        <v>16</v>
      </c>
      <c r="X56" s="119" t="s">
        <v>17</v>
      </c>
      <c r="Y56" s="119" t="s">
        <v>19</v>
      </c>
      <c r="Z56" s="119" t="s">
        <v>18</v>
      </c>
      <c r="AA56" s="119" t="s">
        <v>20</v>
      </c>
      <c r="AB56" s="120" t="s">
        <v>4075</v>
      </c>
      <c r="AD56" s="119" t="s">
        <v>16</v>
      </c>
      <c r="AE56" s="119" t="s">
        <v>17</v>
      </c>
      <c r="AF56" s="119" t="s">
        <v>19</v>
      </c>
      <c r="AG56" s="119" t="s">
        <v>18</v>
      </c>
      <c r="AH56" s="119" t="s">
        <v>20</v>
      </c>
      <c r="AI56" s="120" t="s">
        <v>4075</v>
      </c>
      <c r="AK56" s="119" t="s">
        <v>16</v>
      </c>
      <c r="AL56" s="119" t="s">
        <v>17</v>
      </c>
      <c r="AM56" s="119" t="s">
        <v>19</v>
      </c>
      <c r="AN56" s="119" t="s">
        <v>18</v>
      </c>
      <c r="AO56" s="119" t="s">
        <v>20</v>
      </c>
      <c r="AP56" s="120" t="s">
        <v>4075</v>
      </c>
    </row>
    <row r="57" spans="2:71" x14ac:dyDescent="0.3">
      <c r="B57" s="135"/>
      <c r="C57" s="135"/>
      <c r="D57" s="102"/>
      <c r="E57" s="105" t="str">
        <f>IF(OR(ISBLANK(Term2_Early_Dismissal_1[[#This Row],[Start]]),ISBLANK(Term2_Early_Dismissal_1[[#This Row],[End]])),"",(Term2_Early_Dismissal_1[[#This Row],[End]]-Term2_Early_Dismissal_1[[#This Row],[Start]])*1440)</f>
        <v/>
      </c>
      <c r="F57" s="105" t="str">
        <f>IF(ISBLANK(Term2_Early_Dismissal_1[[#This Row],[Activity]]),"",IF(_xlfn.XLOOKUP(Term2_Early_Dismissal_1[[#This Row],[Activity]],Types_of_Activity[Type of Activity],Types_of_Activity[Classification])=1,Term2_Early_Dismissal_1[[#This Row],[Elapsed]],0))</f>
        <v/>
      </c>
      <c r="G57" s="105" t="str">
        <f>IF(ISBLANK(Term2_Early_Dismissal_1[[#This Row],[Activity]]),"",IF(_xlfn.XLOOKUP(Term2_Early_Dismissal_1[[#This Row],[Activity]],Types_of_Activity[Type of Activity],Types_of_Activity[Classification])=2,Term2_Early_Dismissal_1[[#This Row],[Elapsed]],0))</f>
        <v/>
      </c>
      <c r="H57"/>
      <c r="I57" s="135"/>
      <c r="J57" s="135"/>
      <c r="K57" s="102"/>
      <c r="L57" s="105" t="str">
        <f>IF(OR(ISBLANK(Term2_Early_Dismissal_2[[#This Row],[Start]]),ISBLANK(Term2_Early_Dismissal_2[[#This Row],[End]])),"",(Term2_Early_Dismissal_2[[#This Row],[End]]-Term2_Early_Dismissal_2[[#This Row],[Start]])*1440)</f>
        <v/>
      </c>
      <c r="M57" s="105" t="str">
        <f>IF(ISBLANK(Term2_Early_Dismissal_2[[#This Row],[Activity]]),"",IF(_xlfn.XLOOKUP(Term2_Early_Dismissal_2[[#This Row],[Activity]],Types_of_Activity[Type of Activity],Types_of_Activity[Classification])=1,Term2_Early_Dismissal_2[[#This Row],[Elapsed]],0))</f>
        <v/>
      </c>
      <c r="N57" s="105" t="str">
        <f>IF(ISBLANK(Term2_Early_Dismissal_2[[#This Row],[Activity]]),"",IF(_xlfn.XLOOKUP(Term2_Early_Dismissal_2[[#This Row],[Activity]],Types_of_Activity[Type of Activity],Types_of_Activity[Classification])=2,Term2_Early_Dismissal_2[[#This Row],[Elapsed]],0))</f>
        <v/>
      </c>
      <c r="O57"/>
      <c r="P57" s="135"/>
      <c r="Q57" s="135"/>
      <c r="R57" s="102"/>
      <c r="S57" s="105" t="str">
        <f>IF(OR(ISBLANK(Term2_Early_Dismissal_3[[#This Row],[Start]]),ISBLANK(Term2_Early_Dismissal_3[[#This Row],[End]])),"",(Term2_Early_Dismissal_3[[#This Row],[End]]-Term2_Early_Dismissal_3[[#This Row],[Start]])*1440)</f>
        <v/>
      </c>
      <c r="T57" s="105" t="str">
        <f>IF(ISBLANK(Term2_Early_Dismissal_3[[#This Row],[Activity]]),"",IF(_xlfn.XLOOKUP(Term2_Early_Dismissal_3[[#This Row],[Activity]],Types_of_Activity[Type of Activity],Types_of_Activity[Classification])=1,Term2_Early_Dismissal_3[[#This Row],[Elapsed]],0))</f>
        <v/>
      </c>
      <c r="U57" s="105" t="str">
        <f>IF(ISBLANK(Term2_Early_Dismissal_3[[#This Row],[Activity]]),"",IF(_xlfn.XLOOKUP(Term2_Early_Dismissal_3[[#This Row],[Activity]],Types_of_Activity[Type of Activity],Types_of_Activity[Classification])=2,Term2_Early_Dismissal_3[[#This Row],[Elapsed]],0))</f>
        <v/>
      </c>
      <c r="W57" s="135"/>
      <c r="X57" s="135"/>
      <c r="Y57" s="102"/>
      <c r="Z57" s="105" t="str">
        <f>IF(OR(ISBLANK(Term2_Early_Dismissal_4[[#This Row],[Start]]),ISBLANK(Term2_Early_Dismissal_4[[#This Row],[End]])),"",(Term2_Early_Dismissal_4[[#This Row],[End]]-Term2_Early_Dismissal_4[[#This Row],[Start]])*1440)</f>
        <v/>
      </c>
      <c r="AA57" s="105" t="str">
        <f>IF(ISBLANK(Term2_Early_Dismissal_4[[#This Row],[Activity]]),"",IF(_xlfn.XLOOKUP(Term2_Early_Dismissal_4[[#This Row],[Activity]],Types_of_Activity[Type of Activity],Types_of_Activity[Classification])=1,Term2_Early_Dismissal_4[[#This Row],[Elapsed]],0))</f>
        <v/>
      </c>
      <c r="AB57" s="105" t="str">
        <f>IF(ISBLANK(Term2_Early_Dismissal_4[[#This Row],[Activity]]),"",IF(_xlfn.XLOOKUP(Term2_Early_Dismissal_4[[#This Row],[Activity]],Types_of_Activity[Type of Activity],Types_of_Activity[Classification])=2,Term2_Early_Dismissal_4[[#This Row],[Elapsed]],0))</f>
        <v/>
      </c>
      <c r="AD57" s="135"/>
      <c r="AE57" s="135"/>
      <c r="AF57" s="102"/>
      <c r="AG57" s="105" t="str">
        <f>IF(OR(ISBLANK(Term2_Early_Dismissal_5[[#This Row],[Start]]),ISBLANK(Term2_Early_Dismissal_5[[#This Row],[End]])),"",(Term2_Early_Dismissal_5[[#This Row],[End]]-Term2_Early_Dismissal_5[[#This Row],[Start]])*1440)</f>
        <v/>
      </c>
      <c r="AH57" s="105" t="str">
        <f>IF(ISBLANK(Term2_Early_Dismissal_5[[#This Row],[Activity]]),"",IF(_xlfn.XLOOKUP(Term2_Early_Dismissal_5[[#This Row],[Activity]],Types_of_Activity[Type of Activity],Types_of_Activity[Classification])=1,Term2_Early_Dismissal_5[[#This Row],[Elapsed]],0))</f>
        <v/>
      </c>
      <c r="AI57" s="105" t="str">
        <f>IF(ISBLANK(Term2_Early_Dismissal_5[[#This Row],[Activity]]),"",IF(_xlfn.XLOOKUP(Term2_Early_Dismissal_5[[#This Row],[Activity]],Types_of_Activity[Type of Activity],Types_of_Activity[Classification])=2,Term2_Early_Dismissal_5[[#This Row],[Elapsed]],0))</f>
        <v/>
      </c>
      <c r="AK57" s="135"/>
      <c r="AL57" s="135"/>
      <c r="AM57" s="102"/>
      <c r="AN57" s="105" t="str">
        <f>IF(OR(ISBLANK(Term2_Early_Dismissal_6[[#This Row],[Start]]),ISBLANK(Term2_Early_Dismissal_6[[#This Row],[End]])),"",(Term2_Early_Dismissal_6[[#This Row],[End]]-Term2_Early_Dismissal_6[[#This Row],[Start]])*1440)</f>
        <v/>
      </c>
      <c r="AO57" s="105" t="str">
        <f>IF(ISBLANK(Term2_Early_Dismissal_6[[#This Row],[Activity]]),"",IF(_xlfn.XLOOKUP(Term2_Early_Dismissal_6[[#This Row],[Activity]],Types_of_Activity[Type of Activity],Types_of_Activity[Classification])=1,Term2_Early_Dismissal_6[[#This Row],[Elapsed]],0))</f>
        <v/>
      </c>
      <c r="AP57" s="105" t="str">
        <f>IF(ISBLANK(Term2_Early_Dismissal_6[[#This Row],[Activity]]),"",IF(_xlfn.XLOOKUP(Term2_Early_Dismissal_6[[#This Row],[Activity]],Types_of_Activity[Type of Activity],Types_of_Activity[Classification])=2,Term2_Early_Dismissal_6[[#This Row],[Elapsed]],0))</f>
        <v/>
      </c>
    </row>
    <row r="58" spans="2:71" x14ac:dyDescent="0.3">
      <c r="B58" s="135"/>
      <c r="C58" s="135"/>
      <c r="D58" s="102"/>
      <c r="E58" s="105" t="str">
        <f>IF(OR(ISBLANK(Term2_Early_Dismissal_1[[#This Row],[Start]]),ISBLANK(Term2_Early_Dismissal_1[[#This Row],[End]])),"",(Term2_Early_Dismissal_1[[#This Row],[End]]-Term2_Early_Dismissal_1[[#This Row],[Start]])*1440)</f>
        <v/>
      </c>
      <c r="F58" s="105" t="str">
        <f>IF(ISBLANK(Term2_Early_Dismissal_1[[#This Row],[Activity]]),"",IF(_xlfn.XLOOKUP(Term2_Early_Dismissal_1[[#This Row],[Activity]],Types_of_Activity[Type of Activity],Types_of_Activity[Classification])=1,Term2_Early_Dismissal_1[[#This Row],[Elapsed]],0))</f>
        <v/>
      </c>
      <c r="G58" s="105" t="str">
        <f>IF(ISBLANK(Term2_Early_Dismissal_1[[#This Row],[Activity]]),"",IF(_xlfn.XLOOKUP(Term2_Early_Dismissal_1[[#This Row],[Activity]],Types_of_Activity[Type of Activity],Types_of_Activity[Classification])=2,Term2_Early_Dismissal_1[[#This Row],[Elapsed]],0))</f>
        <v/>
      </c>
      <c r="H58"/>
      <c r="I58" s="135"/>
      <c r="J58" s="135"/>
      <c r="K58" s="102"/>
      <c r="L58" s="105" t="str">
        <f>IF(OR(ISBLANK(Term2_Early_Dismissal_2[[#This Row],[Start]]),ISBLANK(Term2_Early_Dismissal_2[[#This Row],[End]])),"",(Term2_Early_Dismissal_2[[#This Row],[End]]-Term2_Early_Dismissal_2[[#This Row],[Start]])*1440)</f>
        <v/>
      </c>
      <c r="M58" s="105" t="str">
        <f>IF(ISBLANK(Term2_Early_Dismissal_2[[#This Row],[Activity]]),"",IF(_xlfn.XLOOKUP(Term2_Early_Dismissal_2[[#This Row],[Activity]],Types_of_Activity[Type of Activity],Types_of_Activity[Classification])=1,Term2_Early_Dismissal_2[[#This Row],[Elapsed]],0))</f>
        <v/>
      </c>
      <c r="N58" s="105" t="str">
        <f>IF(ISBLANK(Term2_Early_Dismissal_2[[#This Row],[Activity]]),"",IF(_xlfn.XLOOKUP(Term2_Early_Dismissal_2[[#This Row],[Activity]],Types_of_Activity[Type of Activity],Types_of_Activity[Classification])=2,Term2_Early_Dismissal_2[[#This Row],[Elapsed]],0))</f>
        <v/>
      </c>
      <c r="O58"/>
      <c r="P58" s="135"/>
      <c r="Q58" s="135"/>
      <c r="R58" s="102"/>
      <c r="S58" s="105" t="str">
        <f>IF(OR(ISBLANK(Term2_Early_Dismissal_3[[#This Row],[Start]]),ISBLANK(Term2_Early_Dismissal_3[[#This Row],[End]])),"",(Term2_Early_Dismissal_3[[#This Row],[End]]-Term2_Early_Dismissal_3[[#This Row],[Start]])*1440)</f>
        <v/>
      </c>
      <c r="T58" s="105" t="str">
        <f>IF(ISBLANK(Term2_Early_Dismissal_3[[#This Row],[Activity]]),"",IF(_xlfn.XLOOKUP(Term2_Early_Dismissal_3[[#This Row],[Activity]],Types_of_Activity[Type of Activity],Types_of_Activity[Classification])=1,Term2_Early_Dismissal_3[[#This Row],[Elapsed]],0))</f>
        <v/>
      </c>
      <c r="U58" s="105" t="str">
        <f>IF(ISBLANK(Term2_Early_Dismissal_3[[#This Row],[Activity]]),"",IF(_xlfn.XLOOKUP(Term2_Early_Dismissal_3[[#This Row],[Activity]],Types_of_Activity[Type of Activity],Types_of_Activity[Classification])=2,Term2_Early_Dismissal_3[[#This Row],[Elapsed]],0))</f>
        <v/>
      </c>
      <c r="W58" s="135"/>
      <c r="X58" s="135"/>
      <c r="Y58" s="102"/>
      <c r="Z58" s="105" t="str">
        <f>IF(OR(ISBLANK(Term2_Early_Dismissal_4[[#This Row],[Start]]),ISBLANK(Term2_Early_Dismissal_4[[#This Row],[End]])),"",(Term2_Early_Dismissal_4[[#This Row],[End]]-Term2_Early_Dismissal_4[[#This Row],[Start]])*1440)</f>
        <v/>
      </c>
      <c r="AA58" s="105" t="str">
        <f>IF(ISBLANK(Term2_Early_Dismissal_4[[#This Row],[Activity]]),"",IF(_xlfn.XLOOKUP(Term2_Early_Dismissal_4[[#This Row],[Activity]],Types_of_Activity[Type of Activity],Types_of_Activity[Classification])=1,Term2_Early_Dismissal_4[[#This Row],[Elapsed]],0))</f>
        <v/>
      </c>
      <c r="AB58" s="105" t="str">
        <f>IF(ISBLANK(Term2_Early_Dismissal_4[[#This Row],[Activity]]),"",IF(_xlfn.XLOOKUP(Term2_Early_Dismissal_4[[#This Row],[Activity]],Types_of_Activity[Type of Activity],Types_of_Activity[Classification])=2,Term2_Early_Dismissal_4[[#This Row],[Elapsed]],0))</f>
        <v/>
      </c>
      <c r="AD58" s="135"/>
      <c r="AE58" s="135"/>
      <c r="AF58" s="102"/>
      <c r="AG58" s="105" t="str">
        <f>IF(OR(ISBLANK(Term2_Early_Dismissal_5[[#This Row],[Start]]),ISBLANK(Term2_Early_Dismissal_5[[#This Row],[End]])),"",(Term2_Early_Dismissal_5[[#This Row],[End]]-Term2_Early_Dismissal_5[[#This Row],[Start]])*1440)</f>
        <v/>
      </c>
      <c r="AH58" s="105" t="str">
        <f>IF(ISBLANK(Term2_Early_Dismissal_5[[#This Row],[Activity]]),"",IF(_xlfn.XLOOKUP(Term2_Early_Dismissal_5[[#This Row],[Activity]],Types_of_Activity[Type of Activity],Types_of_Activity[Classification])=1,Term2_Early_Dismissal_5[[#This Row],[Elapsed]],0))</f>
        <v/>
      </c>
      <c r="AI58" s="105" t="str">
        <f>IF(ISBLANK(Term2_Early_Dismissal_5[[#This Row],[Activity]]),"",IF(_xlfn.XLOOKUP(Term2_Early_Dismissal_5[[#This Row],[Activity]],Types_of_Activity[Type of Activity],Types_of_Activity[Classification])=2,Term2_Early_Dismissal_5[[#This Row],[Elapsed]],0))</f>
        <v/>
      </c>
      <c r="AK58" s="135"/>
      <c r="AL58" s="135"/>
      <c r="AM58" s="102"/>
      <c r="AN58" s="105" t="str">
        <f>IF(OR(ISBLANK(Term2_Early_Dismissal_6[[#This Row],[Start]]),ISBLANK(Term2_Early_Dismissal_6[[#This Row],[End]])),"",(Term2_Early_Dismissal_6[[#This Row],[End]]-Term2_Early_Dismissal_6[[#This Row],[Start]])*1440)</f>
        <v/>
      </c>
      <c r="AO58" s="105" t="str">
        <f>IF(ISBLANK(Term2_Early_Dismissal_6[[#This Row],[Activity]]),"",IF(_xlfn.XLOOKUP(Term2_Early_Dismissal_6[[#This Row],[Activity]],Types_of_Activity[Type of Activity],Types_of_Activity[Classification])=1,Term2_Early_Dismissal_6[[#This Row],[Elapsed]],0))</f>
        <v/>
      </c>
      <c r="AP58" s="105" t="str">
        <f>IF(ISBLANK(Term2_Early_Dismissal_6[[#This Row],[Activity]]),"",IF(_xlfn.XLOOKUP(Term2_Early_Dismissal_6[[#This Row],[Activity]],Types_of_Activity[Type of Activity],Types_of_Activity[Classification])=2,Term2_Early_Dismissal_6[[#This Row],[Elapsed]],0))</f>
        <v/>
      </c>
    </row>
    <row r="59" spans="2:71" x14ac:dyDescent="0.3">
      <c r="B59" s="135"/>
      <c r="C59" s="135"/>
      <c r="D59" s="102"/>
      <c r="E59" s="105" t="str">
        <f>IF(OR(ISBLANK(Term2_Early_Dismissal_1[[#This Row],[Start]]),ISBLANK(Term2_Early_Dismissal_1[[#This Row],[End]])),"",(Term2_Early_Dismissal_1[[#This Row],[End]]-Term2_Early_Dismissal_1[[#This Row],[Start]])*1440)</f>
        <v/>
      </c>
      <c r="F59" s="105" t="str">
        <f>IF(ISBLANK(Term2_Early_Dismissal_1[[#This Row],[Activity]]),"",IF(_xlfn.XLOOKUP(Term2_Early_Dismissal_1[[#This Row],[Activity]],Types_of_Activity[Type of Activity],Types_of_Activity[Classification])=1,Term2_Early_Dismissal_1[[#This Row],[Elapsed]],0))</f>
        <v/>
      </c>
      <c r="G59" s="105" t="str">
        <f>IF(ISBLANK(Term2_Early_Dismissal_1[[#This Row],[Activity]]),"",IF(_xlfn.XLOOKUP(Term2_Early_Dismissal_1[[#This Row],[Activity]],Types_of_Activity[Type of Activity],Types_of_Activity[Classification])=2,Term2_Early_Dismissal_1[[#This Row],[Elapsed]],0))</f>
        <v/>
      </c>
      <c r="H59"/>
      <c r="I59" s="135"/>
      <c r="J59" s="135"/>
      <c r="K59" s="102"/>
      <c r="L59" s="105" t="str">
        <f>IF(OR(ISBLANK(Term2_Early_Dismissal_2[[#This Row],[Start]]),ISBLANK(Term2_Early_Dismissal_2[[#This Row],[End]])),"",(Term2_Early_Dismissal_2[[#This Row],[End]]-Term2_Early_Dismissal_2[[#This Row],[Start]])*1440)</f>
        <v/>
      </c>
      <c r="M59" s="105" t="str">
        <f>IF(ISBLANK(Term2_Early_Dismissal_2[[#This Row],[Activity]]),"",IF(_xlfn.XLOOKUP(Term2_Early_Dismissal_2[[#This Row],[Activity]],Types_of_Activity[Type of Activity],Types_of_Activity[Classification])=1,Term2_Early_Dismissal_2[[#This Row],[Elapsed]],0))</f>
        <v/>
      </c>
      <c r="N59" s="105" t="str">
        <f>IF(ISBLANK(Term2_Early_Dismissal_2[[#This Row],[Activity]]),"",IF(_xlfn.XLOOKUP(Term2_Early_Dismissal_2[[#This Row],[Activity]],Types_of_Activity[Type of Activity],Types_of_Activity[Classification])=2,Term2_Early_Dismissal_2[[#This Row],[Elapsed]],0))</f>
        <v/>
      </c>
      <c r="O59"/>
      <c r="P59" s="135"/>
      <c r="Q59" s="135"/>
      <c r="R59" s="102"/>
      <c r="S59" s="105" t="str">
        <f>IF(OR(ISBLANK(Term2_Early_Dismissal_3[[#This Row],[Start]]),ISBLANK(Term2_Early_Dismissal_3[[#This Row],[End]])),"",(Term2_Early_Dismissal_3[[#This Row],[End]]-Term2_Early_Dismissal_3[[#This Row],[Start]])*1440)</f>
        <v/>
      </c>
      <c r="T59" s="105" t="str">
        <f>IF(ISBLANK(Term2_Early_Dismissal_3[[#This Row],[Activity]]),"",IF(_xlfn.XLOOKUP(Term2_Early_Dismissal_3[[#This Row],[Activity]],Types_of_Activity[Type of Activity],Types_of_Activity[Classification])=1,Term2_Early_Dismissal_3[[#This Row],[Elapsed]],0))</f>
        <v/>
      </c>
      <c r="U59" s="105" t="str">
        <f>IF(ISBLANK(Term2_Early_Dismissal_3[[#This Row],[Activity]]),"",IF(_xlfn.XLOOKUP(Term2_Early_Dismissal_3[[#This Row],[Activity]],Types_of_Activity[Type of Activity],Types_of_Activity[Classification])=2,Term2_Early_Dismissal_3[[#This Row],[Elapsed]],0))</f>
        <v/>
      </c>
      <c r="W59" s="135"/>
      <c r="X59" s="135"/>
      <c r="Y59" s="102"/>
      <c r="Z59" s="105" t="str">
        <f>IF(OR(ISBLANK(Term2_Early_Dismissal_4[[#This Row],[Start]]),ISBLANK(Term2_Early_Dismissal_4[[#This Row],[End]])),"",(Term2_Early_Dismissal_4[[#This Row],[End]]-Term2_Early_Dismissal_4[[#This Row],[Start]])*1440)</f>
        <v/>
      </c>
      <c r="AA59" s="105" t="str">
        <f>IF(ISBLANK(Term2_Early_Dismissal_4[[#This Row],[Activity]]),"",IF(_xlfn.XLOOKUP(Term2_Early_Dismissal_4[[#This Row],[Activity]],Types_of_Activity[Type of Activity],Types_of_Activity[Classification])=1,Term2_Early_Dismissal_4[[#This Row],[Elapsed]],0))</f>
        <v/>
      </c>
      <c r="AB59" s="105" t="str">
        <f>IF(ISBLANK(Term2_Early_Dismissal_4[[#This Row],[Activity]]),"",IF(_xlfn.XLOOKUP(Term2_Early_Dismissal_4[[#This Row],[Activity]],Types_of_Activity[Type of Activity],Types_of_Activity[Classification])=2,Term2_Early_Dismissal_4[[#This Row],[Elapsed]],0))</f>
        <v/>
      </c>
      <c r="AD59" s="135"/>
      <c r="AE59" s="135"/>
      <c r="AF59" s="102"/>
      <c r="AG59" s="105" t="str">
        <f>IF(OR(ISBLANK(Term2_Early_Dismissal_5[[#This Row],[Start]]),ISBLANK(Term2_Early_Dismissal_5[[#This Row],[End]])),"",(Term2_Early_Dismissal_5[[#This Row],[End]]-Term2_Early_Dismissal_5[[#This Row],[Start]])*1440)</f>
        <v/>
      </c>
      <c r="AH59" s="105" t="str">
        <f>IF(ISBLANK(Term2_Early_Dismissal_5[[#This Row],[Activity]]),"",IF(_xlfn.XLOOKUP(Term2_Early_Dismissal_5[[#This Row],[Activity]],Types_of_Activity[Type of Activity],Types_of_Activity[Classification])=1,Term2_Early_Dismissal_5[[#This Row],[Elapsed]],0))</f>
        <v/>
      </c>
      <c r="AI59" s="105" t="str">
        <f>IF(ISBLANK(Term2_Early_Dismissal_5[[#This Row],[Activity]]),"",IF(_xlfn.XLOOKUP(Term2_Early_Dismissal_5[[#This Row],[Activity]],Types_of_Activity[Type of Activity],Types_of_Activity[Classification])=2,Term2_Early_Dismissal_5[[#This Row],[Elapsed]],0))</f>
        <v/>
      </c>
      <c r="AK59" s="135"/>
      <c r="AL59" s="135"/>
      <c r="AM59" s="102"/>
      <c r="AN59" s="105" t="str">
        <f>IF(OR(ISBLANK(Term2_Early_Dismissal_6[[#This Row],[Start]]),ISBLANK(Term2_Early_Dismissal_6[[#This Row],[End]])),"",(Term2_Early_Dismissal_6[[#This Row],[End]]-Term2_Early_Dismissal_6[[#This Row],[Start]])*1440)</f>
        <v/>
      </c>
      <c r="AO59" s="105" t="str">
        <f>IF(ISBLANK(Term2_Early_Dismissal_6[[#This Row],[Activity]]),"",IF(_xlfn.XLOOKUP(Term2_Early_Dismissal_6[[#This Row],[Activity]],Types_of_Activity[Type of Activity],Types_of_Activity[Classification])=1,Term2_Early_Dismissal_6[[#This Row],[Elapsed]],0))</f>
        <v/>
      </c>
      <c r="AP59" s="105" t="str">
        <f>IF(ISBLANK(Term2_Early_Dismissal_6[[#This Row],[Activity]]),"",IF(_xlfn.XLOOKUP(Term2_Early_Dismissal_6[[#This Row],[Activity]],Types_of_Activity[Type of Activity],Types_of_Activity[Classification])=2,Term2_Early_Dismissal_6[[#This Row],[Elapsed]],0))</f>
        <v/>
      </c>
    </row>
    <row r="60" spans="2:71" x14ac:dyDescent="0.3">
      <c r="B60" s="135"/>
      <c r="C60" s="135"/>
      <c r="D60" s="102"/>
      <c r="E60" s="105" t="str">
        <f>IF(OR(ISBLANK(Term2_Early_Dismissal_1[[#This Row],[Start]]),ISBLANK(Term2_Early_Dismissal_1[[#This Row],[End]])),"",(Term2_Early_Dismissal_1[[#This Row],[End]]-Term2_Early_Dismissal_1[[#This Row],[Start]])*1440)</f>
        <v/>
      </c>
      <c r="F60" s="105" t="str">
        <f>IF(ISBLANK(Term2_Early_Dismissal_1[[#This Row],[Activity]]),"",IF(_xlfn.XLOOKUP(Term2_Early_Dismissal_1[[#This Row],[Activity]],Types_of_Activity[Type of Activity],Types_of_Activity[Classification])=1,Term2_Early_Dismissal_1[[#This Row],[Elapsed]],0))</f>
        <v/>
      </c>
      <c r="G60" s="105" t="str">
        <f>IF(ISBLANK(Term2_Early_Dismissal_1[[#This Row],[Activity]]),"",IF(_xlfn.XLOOKUP(Term2_Early_Dismissal_1[[#This Row],[Activity]],Types_of_Activity[Type of Activity],Types_of_Activity[Classification])=2,Term2_Early_Dismissal_1[[#This Row],[Elapsed]],0))</f>
        <v/>
      </c>
      <c r="H60"/>
      <c r="I60" s="135"/>
      <c r="J60" s="135"/>
      <c r="K60" s="102"/>
      <c r="L60" s="105" t="str">
        <f>IF(OR(ISBLANK(Term2_Early_Dismissal_2[[#This Row],[Start]]),ISBLANK(Term2_Early_Dismissal_2[[#This Row],[End]])),"",(Term2_Early_Dismissal_2[[#This Row],[End]]-Term2_Early_Dismissal_2[[#This Row],[Start]])*1440)</f>
        <v/>
      </c>
      <c r="M60" s="105" t="str">
        <f>IF(ISBLANK(Term2_Early_Dismissal_2[[#This Row],[Activity]]),"",IF(_xlfn.XLOOKUP(Term2_Early_Dismissal_2[[#This Row],[Activity]],Types_of_Activity[Type of Activity],Types_of_Activity[Classification])=1,Term2_Early_Dismissal_2[[#This Row],[Elapsed]],0))</f>
        <v/>
      </c>
      <c r="N60" s="105" t="str">
        <f>IF(ISBLANK(Term2_Early_Dismissal_2[[#This Row],[Activity]]),"",IF(_xlfn.XLOOKUP(Term2_Early_Dismissal_2[[#This Row],[Activity]],Types_of_Activity[Type of Activity],Types_of_Activity[Classification])=2,Term2_Early_Dismissal_2[[#This Row],[Elapsed]],0))</f>
        <v/>
      </c>
      <c r="O60"/>
      <c r="P60" s="135"/>
      <c r="Q60" s="135"/>
      <c r="R60" s="102"/>
      <c r="S60" s="105" t="str">
        <f>IF(OR(ISBLANK(Term2_Early_Dismissal_3[[#This Row],[Start]]),ISBLANK(Term2_Early_Dismissal_3[[#This Row],[End]])),"",(Term2_Early_Dismissal_3[[#This Row],[End]]-Term2_Early_Dismissal_3[[#This Row],[Start]])*1440)</f>
        <v/>
      </c>
      <c r="T60" s="105" t="str">
        <f>IF(ISBLANK(Term2_Early_Dismissal_3[[#This Row],[Activity]]),"",IF(_xlfn.XLOOKUP(Term2_Early_Dismissal_3[[#This Row],[Activity]],Types_of_Activity[Type of Activity],Types_of_Activity[Classification])=1,Term2_Early_Dismissal_3[[#This Row],[Elapsed]],0))</f>
        <v/>
      </c>
      <c r="U60" s="105" t="str">
        <f>IF(ISBLANK(Term2_Early_Dismissal_3[[#This Row],[Activity]]),"",IF(_xlfn.XLOOKUP(Term2_Early_Dismissal_3[[#This Row],[Activity]],Types_of_Activity[Type of Activity],Types_of_Activity[Classification])=2,Term2_Early_Dismissal_3[[#This Row],[Elapsed]],0))</f>
        <v/>
      </c>
      <c r="W60" s="135"/>
      <c r="X60" s="135"/>
      <c r="Y60" s="102"/>
      <c r="Z60" s="105" t="str">
        <f>IF(OR(ISBLANK(Term2_Early_Dismissal_4[[#This Row],[Start]]),ISBLANK(Term2_Early_Dismissal_4[[#This Row],[End]])),"",(Term2_Early_Dismissal_4[[#This Row],[End]]-Term2_Early_Dismissal_4[[#This Row],[Start]])*1440)</f>
        <v/>
      </c>
      <c r="AA60" s="105" t="str">
        <f>IF(ISBLANK(Term2_Early_Dismissal_4[[#This Row],[Activity]]),"",IF(_xlfn.XLOOKUP(Term2_Early_Dismissal_4[[#This Row],[Activity]],Types_of_Activity[Type of Activity],Types_of_Activity[Classification])=1,Term2_Early_Dismissal_4[[#This Row],[Elapsed]],0))</f>
        <v/>
      </c>
      <c r="AB60" s="105" t="str">
        <f>IF(ISBLANK(Term2_Early_Dismissal_4[[#This Row],[Activity]]),"",IF(_xlfn.XLOOKUP(Term2_Early_Dismissal_4[[#This Row],[Activity]],Types_of_Activity[Type of Activity],Types_of_Activity[Classification])=2,Term2_Early_Dismissal_4[[#This Row],[Elapsed]],0))</f>
        <v/>
      </c>
      <c r="AD60" s="135"/>
      <c r="AE60" s="135"/>
      <c r="AF60" s="102"/>
      <c r="AG60" s="105" t="str">
        <f>IF(OR(ISBLANK(Term2_Early_Dismissal_5[[#This Row],[Start]]),ISBLANK(Term2_Early_Dismissal_5[[#This Row],[End]])),"",(Term2_Early_Dismissal_5[[#This Row],[End]]-Term2_Early_Dismissal_5[[#This Row],[Start]])*1440)</f>
        <v/>
      </c>
      <c r="AH60" s="105" t="str">
        <f>IF(ISBLANK(Term2_Early_Dismissal_5[[#This Row],[Activity]]),"",IF(_xlfn.XLOOKUP(Term2_Early_Dismissal_5[[#This Row],[Activity]],Types_of_Activity[Type of Activity],Types_of_Activity[Classification])=1,Term2_Early_Dismissal_5[[#This Row],[Elapsed]],0))</f>
        <v/>
      </c>
      <c r="AI60" s="105" t="str">
        <f>IF(ISBLANK(Term2_Early_Dismissal_5[[#This Row],[Activity]]),"",IF(_xlfn.XLOOKUP(Term2_Early_Dismissal_5[[#This Row],[Activity]],Types_of_Activity[Type of Activity],Types_of_Activity[Classification])=2,Term2_Early_Dismissal_5[[#This Row],[Elapsed]],0))</f>
        <v/>
      </c>
      <c r="AK60" s="135"/>
      <c r="AL60" s="135"/>
      <c r="AM60" s="102"/>
      <c r="AN60" s="105" t="str">
        <f>IF(OR(ISBLANK(Term2_Early_Dismissal_6[[#This Row],[Start]]),ISBLANK(Term2_Early_Dismissal_6[[#This Row],[End]])),"",(Term2_Early_Dismissal_6[[#This Row],[End]]-Term2_Early_Dismissal_6[[#This Row],[Start]])*1440)</f>
        <v/>
      </c>
      <c r="AO60" s="105" t="str">
        <f>IF(ISBLANK(Term2_Early_Dismissal_6[[#This Row],[Activity]]),"",IF(_xlfn.XLOOKUP(Term2_Early_Dismissal_6[[#This Row],[Activity]],Types_of_Activity[Type of Activity],Types_of_Activity[Classification])=1,Term2_Early_Dismissal_6[[#This Row],[Elapsed]],0))</f>
        <v/>
      </c>
      <c r="AP60" s="105" t="str">
        <f>IF(ISBLANK(Term2_Early_Dismissal_6[[#This Row],[Activity]]),"",IF(_xlfn.XLOOKUP(Term2_Early_Dismissal_6[[#This Row],[Activity]],Types_of_Activity[Type of Activity],Types_of_Activity[Classification])=2,Term2_Early_Dismissal_6[[#This Row],[Elapsed]],0))</f>
        <v/>
      </c>
    </row>
    <row r="61" spans="2:71" x14ac:dyDescent="0.3">
      <c r="B61" s="135"/>
      <c r="C61" s="135"/>
      <c r="D61" s="102"/>
      <c r="E61" s="105" t="str">
        <f>IF(OR(ISBLANK(Term2_Early_Dismissal_1[[#This Row],[Start]]),ISBLANK(Term2_Early_Dismissal_1[[#This Row],[End]])),"",(Term2_Early_Dismissal_1[[#This Row],[End]]-Term2_Early_Dismissal_1[[#This Row],[Start]])*1440)</f>
        <v/>
      </c>
      <c r="F61" s="105" t="str">
        <f>IF(ISBLANK(Term2_Early_Dismissal_1[[#This Row],[Activity]]),"",IF(_xlfn.XLOOKUP(Term2_Early_Dismissal_1[[#This Row],[Activity]],Types_of_Activity[Type of Activity],Types_of_Activity[Classification])=1,Term2_Early_Dismissal_1[[#This Row],[Elapsed]],0))</f>
        <v/>
      </c>
      <c r="G61" s="105" t="str">
        <f>IF(ISBLANK(Term2_Early_Dismissal_1[[#This Row],[Activity]]),"",IF(_xlfn.XLOOKUP(Term2_Early_Dismissal_1[[#This Row],[Activity]],Types_of_Activity[Type of Activity],Types_of_Activity[Classification])=2,Term2_Early_Dismissal_1[[#This Row],[Elapsed]],0))</f>
        <v/>
      </c>
      <c r="H61"/>
      <c r="I61" s="135"/>
      <c r="J61" s="135"/>
      <c r="K61" s="102"/>
      <c r="L61" s="105" t="str">
        <f>IF(OR(ISBLANK(Term2_Early_Dismissal_2[[#This Row],[Start]]),ISBLANK(Term2_Early_Dismissal_2[[#This Row],[End]])),"",(Term2_Early_Dismissal_2[[#This Row],[End]]-Term2_Early_Dismissal_2[[#This Row],[Start]])*1440)</f>
        <v/>
      </c>
      <c r="M61" s="105" t="str">
        <f>IF(ISBLANK(Term2_Early_Dismissal_2[[#This Row],[Activity]]),"",IF(_xlfn.XLOOKUP(Term2_Early_Dismissal_2[[#This Row],[Activity]],Types_of_Activity[Type of Activity],Types_of_Activity[Classification])=1,Term2_Early_Dismissal_2[[#This Row],[Elapsed]],0))</f>
        <v/>
      </c>
      <c r="N61" s="105" t="str">
        <f>IF(ISBLANK(Term2_Early_Dismissal_2[[#This Row],[Activity]]),"",IF(_xlfn.XLOOKUP(Term2_Early_Dismissal_2[[#This Row],[Activity]],Types_of_Activity[Type of Activity],Types_of_Activity[Classification])=2,Term2_Early_Dismissal_2[[#This Row],[Elapsed]],0))</f>
        <v/>
      </c>
      <c r="O61"/>
      <c r="P61" s="135"/>
      <c r="Q61" s="135"/>
      <c r="R61" s="102"/>
      <c r="S61" s="105" t="str">
        <f>IF(OR(ISBLANK(Term2_Early_Dismissal_3[[#This Row],[Start]]),ISBLANK(Term2_Early_Dismissal_3[[#This Row],[End]])),"",(Term2_Early_Dismissal_3[[#This Row],[End]]-Term2_Early_Dismissal_3[[#This Row],[Start]])*1440)</f>
        <v/>
      </c>
      <c r="T61" s="105" t="str">
        <f>IF(ISBLANK(Term2_Early_Dismissal_3[[#This Row],[Activity]]),"",IF(_xlfn.XLOOKUP(Term2_Early_Dismissal_3[[#This Row],[Activity]],Types_of_Activity[Type of Activity],Types_of_Activity[Classification])=1,Term2_Early_Dismissal_3[[#This Row],[Elapsed]],0))</f>
        <v/>
      </c>
      <c r="U61" s="105" t="str">
        <f>IF(ISBLANK(Term2_Early_Dismissal_3[[#This Row],[Activity]]),"",IF(_xlfn.XLOOKUP(Term2_Early_Dismissal_3[[#This Row],[Activity]],Types_of_Activity[Type of Activity],Types_of_Activity[Classification])=2,Term2_Early_Dismissal_3[[#This Row],[Elapsed]],0))</f>
        <v/>
      </c>
      <c r="W61" s="135"/>
      <c r="X61" s="135"/>
      <c r="Y61" s="102"/>
      <c r="Z61" s="105" t="str">
        <f>IF(OR(ISBLANK(Term2_Early_Dismissal_4[[#This Row],[Start]]),ISBLANK(Term2_Early_Dismissal_4[[#This Row],[End]])),"",(Term2_Early_Dismissal_4[[#This Row],[End]]-Term2_Early_Dismissal_4[[#This Row],[Start]])*1440)</f>
        <v/>
      </c>
      <c r="AA61" s="105" t="str">
        <f>IF(ISBLANK(Term2_Early_Dismissal_4[[#This Row],[Activity]]),"",IF(_xlfn.XLOOKUP(Term2_Early_Dismissal_4[[#This Row],[Activity]],Types_of_Activity[Type of Activity],Types_of_Activity[Classification])=1,Term2_Early_Dismissal_4[[#This Row],[Elapsed]],0))</f>
        <v/>
      </c>
      <c r="AB61" s="105" t="str">
        <f>IF(ISBLANK(Term2_Early_Dismissal_4[[#This Row],[Activity]]),"",IF(_xlfn.XLOOKUP(Term2_Early_Dismissal_4[[#This Row],[Activity]],Types_of_Activity[Type of Activity],Types_of_Activity[Classification])=2,Term2_Early_Dismissal_4[[#This Row],[Elapsed]],0))</f>
        <v/>
      </c>
      <c r="AD61" s="135"/>
      <c r="AE61" s="135"/>
      <c r="AF61" s="102"/>
      <c r="AG61" s="105" t="str">
        <f>IF(OR(ISBLANK(Term2_Early_Dismissal_5[[#This Row],[Start]]),ISBLANK(Term2_Early_Dismissal_5[[#This Row],[End]])),"",(Term2_Early_Dismissal_5[[#This Row],[End]]-Term2_Early_Dismissal_5[[#This Row],[Start]])*1440)</f>
        <v/>
      </c>
      <c r="AH61" s="105" t="str">
        <f>IF(ISBLANK(Term2_Early_Dismissal_5[[#This Row],[Activity]]),"",IF(_xlfn.XLOOKUP(Term2_Early_Dismissal_5[[#This Row],[Activity]],Types_of_Activity[Type of Activity],Types_of_Activity[Classification])=1,Term2_Early_Dismissal_5[[#This Row],[Elapsed]],0))</f>
        <v/>
      </c>
      <c r="AI61" s="105" t="str">
        <f>IF(ISBLANK(Term2_Early_Dismissal_5[[#This Row],[Activity]]),"",IF(_xlfn.XLOOKUP(Term2_Early_Dismissal_5[[#This Row],[Activity]],Types_of_Activity[Type of Activity],Types_of_Activity[Classification])=2,Term2_Early_Dismissal_5[[#This Row],[Elapsed]],0))</f>
        <v/>
      </c>
      <c r="AK61" s="135"/>
      <c r="AL61" s="135"/>
      <c r="AM61" s="102"/>
      <c r="AN61" s="105" t="str">
        <f>IF(OR(ISBLANK(Term2_Early_Dismissal_6[[#This Row],[Start]]),ISBLANK(Term2_Early_Dismissal_6[[#This Row],[End]])),"",(Term2_Early_Dismissal_6[[#This Row],[End]]-Term2_Early_Dismissal_6[[#This Row],[Start]])*1440)</f>
        <v/>
      </c>
      <c r="AO61" s="105" t="str">
        <f>IF(ISBLANK(Term2_Early_Dismissal_6[[#This Row],[Activity]]),"",IF(_xlfn.XLOOKUP(Term2_Early_Dismissal_6[[#This Row],[Activity]],Types_of_Activity[Type of Activity],Types_of_Activity[Classification])=1,Term2_Early_Dismissal_6[[#This Row],[Elapsed]],0))</f>
        <v/>
      </c>
      <c r="AP61" s="105" t="str">
        <f>IF(ISBLANK(Term2_Early_Dismissal_6[[#This Row],[Activity]]),"",IF(_xlfn.XLOOKUP(Term2_Early_Dismissal_6[[#This Row],[Activity]],Types_of_Activity[Type of Activity],Types_of_Activity[Classification])=2,Term2_Early_Dismissal_6[[#This Row],[Elapsed]],0))</f>
        <v/>
      </c>
    </row>
    <row r="62" spans="2:71" x14ac:dyDescent="0.3">
      <c r="B62" s="135"/>
      <c r="C62" s="135"/>
      <c r="D62" s="102"/>
      <c r="E62" s="105" t="str">
        <f>IF(OR(ISBLANK(Term2_Early_Dismissal_1[[#This Row],[Start]]),ISBLANK(Term2_Early_Dismissal_1[[#This Row],[End]])),"",(Term2_Early_Dismissal_1[[#This Row],[End]]-Term2_Early_Dismissal_1[[#This Row],[Start]])*1440)</f>
        <v/>
      </c>
      <c r="F62" s="105" t="str">
        <f>IF(ISBLANK(Term2_Early_Dismissal_1[[#This Row],[Activity]]),"",IF(_xlfn.XLOOKUP(Term2_Early_Dismissal_1[[#This Row],[Activity]],Types_of_Activity[Type of Activity],Types_of_Activity[Classification])=1,Term2_Early_Dismissal_1[[#This Row],[Elapsed]],0))</f>
        <v/>
      </c>
      <c r="G62" s="105" t="str">
        <f>IF(ISBLANK(Term2_Early_Dismissal_1[[#This Row],[Activity]]),"",IF(_xlfn.XLOOKUP(Term2_Early_Dismissal_1[[#This Row],[Activity]],Types_of_Activity[Type of Activity],Types_of_Activity[Classification])=2,Term2_Early_Dismissal_1[[#This Row],[Elapsed]],0))</f>
        <v/>
      </c>
      <c r="H62"/>
      <c r="I62" s="135"/>
      <c r="J62" s="135"/>
      <c r="K62" s="102"/>
      <c r="L62" s="105" t="str">
        <f>IF(OR(ISBLANK(Term2_Early_Dismissal_2[[#This Row],[Start]]),ISBLANK(Term2_Early_Dismissal_2[[#This Row],[End]])),"",(Term2_Early_Dismissal_2[[#This Row],[End]]-Term2_Early_Dismissal_2[[#This Row],[Start]])*1440)</f>
        <v/>
      </c>
      <c r="M62" s="105" t="str">
        <f>IF(ISBLANK(Term2_Early_Dismissal_2[[#This Row],[Activity]]),"",IF(_xlfn.XLOOKUP(Term2_Early_Dismissal_2[[#This Row],[Activity]],Types_of_Activity[Type of Activity],Types_of_Activity[Classification])=1,Term2_Early_Dismissal_2[[#This Row],[Elapsed]],0))</f>
        <v/>
      </c>
      <c r="N62" s="105" t="str">
        <f>IF(ISBLANK(Term2_Early_Dismissal_2[[#This Row],[Activity]]),"",IF(_xlfn.XLOOKUP(Term2_Early_Dismissal_2[[#This Row],[Activity]],Types_of_Activity[Type of Activity],Types_of_Activity[Classification])=2,Term2_Early_Dismissal_2[[#This Row],[Elapsed]],0))</f>
        <v/>
      </c>
      <c r="O62"/>
      <c r="P62" s="135"/>
      <c r="Q62" s="135"/>
      <c r="R62" s="102"/>
      <c r="S62" s="105" t="str">
        <f>IF(OR(ISBLANK(Term2_Early_Dismissal_3[[#This Row],[Start]]),ISBLANK(Term2_Early_Dismissal_3[[#This Row],[End]])),"",(Term2_Early_Dismissal_3[[#This Row],[End]]-Term2_Early_Dismissal_3[[#This Row],[Start]])*1440)</f>
        <v/>
      </c>
      <c r="T62" s="105" t="str">
        <f>IF(ISBLANK(Term2_Early_Dismissal_3[[#This Row],[Activity]]),"",IF(_xlfn.XLOOKUP(Term2_Early_Dismissal_3[[#This Row],[Activity]],Types_of_Activity[Type of Activity],Types_of_Activity[Classification])=1,Term2_Early_Dismissal_3[[#This Row],[Elapsed]],0))</f>
        <v/>
      </c>
      <c r="U62" s="105" t="str">
        <f>IF(ISBLANK(Term2_Early_Dismissal_3[[#This Row],[Activity]]),"",IF(_xlfn.XLOOKUP(Term2_Early_Dismissal_3[[#This Row],[Activity]],Types_of_Activity[Type of Activity],Types_of_Activity[Classification])=2,Term2_Early_Dismissal_3[[#This Row],[Elapsed]],0))</f>
        <v/>
      </c>
      <c r="W62" s="135"/>
      <c r="X62" s="135"/>
      <c r="Y62" s="102"/>
      <c r="Z62" s="105" t="str">
        <f>IF(OR(ISBLANK(Term2_Early_Dismissal_4[[#This Row],[Start]]),ISBLANK(Term2_Early_Dismissal_4[[#This Row],[End]])),"",(Term2_Early_Dismissal_4[[#This Row],[End]]-Term2_Early_Dismissal_4[[#This Row],[Start]])*1440)</f>
        <v/>
      </c>
      <c r="AA62" s="105" t="str">
        <f>IF(ISBLANK(Term2_Early_Dismissal_4[[#This Row],[Activity]]),"",IF(_xlfn.XLOOKUP(Term2_Early_Dismissal_4[[#This Row],[Activity]],Types_of_Activity[Type of Activity],Types_of_Activity[Classification])=1,Term2_Early_Dismissal_4[[#This Row],[Elapsed]],0))</f>
        <v/>
      </c>
      <c r="AB62" s="105" t="str">
        <f>IF(ISBLANK(Term2_Early_Dismissal_4[[#This Row],[Activity]]),"",IF(_xlfn.XLOOKUP(Term2_Early_Dismissal_4[[#This Row],[Activity]],Types_of_Activity[Type of Activity],Types_of_Activity[Classification])=2,Term2_Early_Dismissal_4[[#This Row],[Elapsed]],0))</f>
        <v/>
      </c>
      <c r="AD62" s="135"/>
      <c r="AE62" s="135"/>
      <c r="AF62" s="102"/>
      <c r="AG62" s="105" t="str">
        <f>IF(OR(ISBLANK(Term2_Early_Dismissal_5[[#This Row],[Start]]),ISBLANK(Term2_Early_Dismissal_5[[#This Row],[End]])),"",(Term2_Early_Dismissal_5[[#This Row],[End]]-Term2_Early_Dismissal_5[[#This Row],[Start]])*1440)</f>
        <v/>
      </c>
      <c r="AH62" s="105" t="str">
        <f>IF(ISBLANK(Term2_Early_Dismissal_5[[#This Row],[Activity]]),"",IF(_xlfn.XLOOKUP(Term2_Early_Dismissal_5[[#This Row],[Activity]],Types_of_Activity[Type of Activity],Types_of_Activity[Classification])=1,Term2_Early_Dismissal_5[[#This Row],[Elapsed]],0))</f>
        <v/>
      </c>
      <c r="AI62" s="105" t="str">
        <f>IF(ISBLANK(Term2_Early_Dismissal_5[[#This Row],[Activity]]),"",IF(_xlfn.XLOOKUP(Term2_Early_Dismissal_5[[#This Row],[Activity]],Types_of_Activity[Type of Activity],Types_of_Activity[Classification])=2,Term2_Early_Dismissal_5[[#This Row],[Elapsed]],0))</f>
        <v/>
      </c>
      <c r="AK62" s="135"/>
      <c r="AL62" s="135"/>
      <c r="AM62" s="102"/>
      <c r="AN62" s="105" t="str">
        <f>IF(OR(ISBLANK(Term2_Early_Dismissal_6[[#This Row],[Start]]),ISBLANK(Term2_Early_Dismissal_6[[#This Row],[End]])),"",(Term2_Early_Dismissal_6[[#This Row],[End]]-Term2_Early_Dismissal_6[[#This Row],[Start]])*1440)</f>
        <v/>
      </c>
      <c r="AO62" s="105" t="str">
        <f>IF(ISBLANK(Term2_Early_Dismissal_6[[#This Row],[Activity]]),"",IF(_xlfn.XLOOKUP(Term2_Early_Dismissal_6[[#This Row],[Activity]],Types_of_Activity[Type of Activity],Types_of_Activity[Classification])=1,Term2_Early_Dismissal_6[[#This Row],[Elapsed]],0))</f>
        <v/>
      </c>
      <c r="AP62" s="105" t="str">
        <f>IF(ISBLANK(Term2_Early_Dismissal_6[[#This Row],[Activity]]),"",IF(_xlfn.XLOOKUP(Term2_Early_Dismissal_6[[#This Row],[Activity]],Types_of_Activity[Type of Activity],Types_of_Activity[Classification])=2,Term2_Early_Dismissal_6[[#This Row],[Elapsed]],0))</f>
        <v/>
      </c>
    </row>
    <row r="63" spans="2:71" x14ac:dyDescent="0.3">
      <c r="B63" s="135"/>
      <c r="C63" s="135"/>
      <c r="D63" s="102"/>
      <c r="E63" s="105" t="str">
        <f>IF(OR(ISBLANK(Term2_Early_Dismissal_1[[#This Row],[Start]]),ISBLANK(Term2_Early_Dismissal_1[[#This Row],[End]])),"",(Term2_Early_Dismissal_1[[#This Row],[End]]-Term2_Early_Dismissal_1[[#This Row],[Start]])*1440)</f>
        <v/>
      </c>
      <c r="F63" s="105" t="str">
        <f>IF(ISBLANK(Term2_Early_Dismissal_1[[#This Row],[Activity]]),"",IF(_xlfn.XLOOKUP(Term2_Early_Dismissal_1[[#This Row],[Activity]],Types_of_Activity[Type of Activity],Types_of_Activity[Classification])=1,Term2_Early_Dismissal_1[[#This Row],[Elapsed]],0))</f>
        <v/>
      </c>
      <c r="G63" s="105" t="str">
        <f>IF(ISBLANK(Term2_Early_Dismissal_1[[#This Row],[Activity]]),"",IF(_xlfn.XLOOKUP(Term2_Early_Dismissal_1[[#This Row],[Activity]],Types_of_Activity[Type of Activity],Types_of_Activity[Classification])=2,Term2_Early_Dismissal_1[[#This Row],[Elapsed]],0))</f>
        <v/>
      </c>
      <c r="H63"/>
      <c r="I63" s="135"/>
      <c r="J63" s="135"/>
      <c r="K63" s="102"/>
      <c r="L63" s="105" t="str">
        <f>IF(OR(ISBLANK(Term2_Early_Dismissal_2[[#This Row],[Start]]),ISBLANK(Term2_Early_Dismissal_2[[#This Row],[End]])),"",(Term2_Early_Dismissal_2[[#This Row],[End]]-Term2_Early_Dismissal_2[[#This Row],[Start]])*1440)</f>
        <v/>
      </c>
      <c r="M63" s="105" t="str">
        <f>IF(ISBLANK(Term2_Early_Dismissal_2[[#This Row],[Activity]]),"",IF(_xlfn.XLOOKUP(Term2_Early_Dismissal_2[[#This Row],[Activity]],Types_of_Activity[Type of Activity],Types_of_Activity[Classification])=1,Term2_Early_Dismissal_2[[#This Row],[Elapsed]],0))</f>
        <v/>
      </c>
      <c r="N63" s="105" t="str">
        <f>IF(ISBLANK(Term2_Early_Dismissal_2[[#This Row],[Activity]]),"",IF(_xlfn.XLOOKUP(Term2_Early_Dismissal_2[[#This Row],[Activity]],Types_of_Activity[Type of Activity],Types_of_Activity[Classification])=2,Term2_Early_Dismissal_2[[#This Row],[Elapsed]],0))</f>
        <v/>
      </c>
      <c r="O63"/>
      <c r="P63" s="135"/>
      <c r="Q63" s="135"/>
      <c r="R63" s="102"/>
      <c r="S63" s="105" t="str">
        <f>IF(OR(ISBLANK(Term2_Early_Dismissal_3[[#This Row],[Start]]),ISBLANK(Term2_Early_Dismissal_3[[#This Row],[End]])),"",(Term2_Early_Dismissal_3[[#This Row],[End]]-Term2_Early_Dismissal_3[[#This Row],[Start]])*1440)</f>
        <v/>
      </c>
      <c r="T63" s="105" t="str">
        <f>IF(ISBLANK(Term2_Early_Dismissal_3[[#This Row],[Activity]]),"",IF(_xlfn.XLOOKUP(Term2_Early_Dismissal_3[[#This Row],[Activity]],Types_of_Activity[Type of Activity],Types_of_Activity[Classification])=1,Term2_Early_Dismissal_3[[#This Row],[Elapsed]],0))</f>
        <v/>
      </c>
      <c r="U63" s="105" t="str">
        <f>IF(ISBLANK(Term2_Early_Dismissal_3[[#This Row],[Activity]]),"",IF(_xlfn.XLOOKUP(Term2_Early_Dismissal_3[[#This Row],[Activity]],Types_of_Activity[Type of Activity],Types_of_Activity[Classification])=2,Term2_Early_Dismissal_3[[#This Row],[Elapsed]],0))</f>
        <v/>
      </c>
      <c r="W63" s="135"/>
      <c r="X63" s="135"/>
      <c r="Y63" s="102"/>
      <c r="Z63" s="105" t="str">
        <f>IF(OR(ISBLANK(Term2_Early_Dismissal_4[[#This Row],[Start]]),ISBLANK(Term2_Early_Dismissal_4[[#This Row],[End]])),"",(Term2_Early_Dismissal_4[[#This Row],[End]]-Term2_Early_Dismissal_4[[#This Row],[Start]])*1440)</f>
        <v/>
      </c>
      <c r="AA63" s="105" t="str">
        <f>IF(ISBLANK(Term2_Early_Dismissal_4[[#This Row],[Activity]]),"",IF(_xlfn.XLOOKUP(Term2_Early_Dismissal_4[[#This Row],[Activity]],Types_of_Activity[Type of Activity],Types_of_Activity[Classification])=1,Term2_Early_Dismissal_4[[#This Row],[Elapsed]],0))</f>
        <v/>
      </c>
      <c r="AB63" s="105" t="str">
        <f>IF(ISBLANK(Term2_Early_Dismissal_4[[#This Row],[Activity]]),"",IF(_xlfn.XLOOKUP(Term2_Early_Dismissal_4[[#This Row],[Activity]],Types_of_Activity[Type of Activity],Types_of_Activity[Classification])=2,Term2_Early_Dismissal_4[[#This Row],[Elapsed]],0))</f>
        <v/>
      </c>
      <c r="AD63" s="135"/>
      <c r="AE63" s="135"/>
      <c r="AF63" s="102"/>
      <c r="AG63" s="105" t="str">
        <f>IF(OR(ISBLANK(Term2_Early_Dismissal_5[[#This Row],[Start]]),ISBLANK(Term2_Early_Dismissal_5[[#This Row],[End]])),"",(Term2_Early_Dismissal_5[[#This Row],[End]]-Term2_Early_Dismissal_5[[#This Row],[Start]])*1440)</f>
        <v/>
      </c>
      <c r="AH63" s="105" t="str">
        <f>IF(ISBLANK(Term2_Early_Dismissal_5[[#This Row],[Activity]]),"",IF(_xlfn.XLOOKUP(Term2_Early_Dismissal_5[[#This Row],[Activity]],Types_of_Activity[Type of Activity],Types_of_Activity[Classification])=1,Term2_Early_Dismissal_5[[#This Row],[Elapsed]],0))</f>
        <v/>
      </c>
      <c r="AI63" s="105" t="str">
        <f>IF(ISBLANK(Term2_Early_Dismissal_5[[#This Row],[Activity]]),"",IF(_xlfn.XLOOKUP(Term2_Early_Dismissal_5[[#This Row],[Activity]],Types_of_Activity[Type of Activity],Types_of_Activity[Classification])=2,Term2_Early_Dismissal_5[[#This Row],[Elapsed]],0))</f>
        <v/>
      </c>
      <c r="AK63" s="135"/>
      <c r="AL63" s="135"/>
      <c r="AM63" s="102"/>
      <c r="AN63" s="105" t="str">
        <f>IF(OR(ISBLANK(Term2_Early_Dismissal_6[[#This Row],[Start]]),ISBLANK(Term2_Early_Dismissal_6[[#This Row],[End]])),"",(Term2_Early_Dismissal_6[[#This Row],[End]]-Term2_Early_Dismissal_6[[#This Row],[Start]])*1440)</f>
        <v/>
      </c>
      <c r="AO63" s="105" t="str">
        <f>IF(ISBLANK(Term2_Early_Dismissal_6[[#This Row],[Activity]]),"",IF(_xlfn.XLOOKUP(Term2_Early_Dismissal_6[[#This Row],[Activity]],Types_of_Activity[Type of Activity],Types_of_Activity[Classification])=1,Term2_Early_Dismissal_6[[#This Row],[Elapsed]],0))</f>
        <v/>
      </c>
      <c r="AP63" s="105" t="str">
        <f>IF(ISBLANK(Term2_Early_Dismissal_6[[#This Row],[Activity]]),"",IF(_xlfn.XLOOKUP(Term2_Early_Dismissal_6[[#This Row],[Activity]],Types_of_Activity[Type of Activity],Types_of_Activity[Classification])=2,Term2_Early_Dismissal_6[[#This Row],[Elapsed]],0))</f>
        <v/>
      </c>
    </row>
    <row r="64" spans="2:71" x14ac:dyDescent="0.3">
      <c r="B64" s="135"/>
      <c r="C64" s="135"/>
      <c r="D64" s="102"/>
      <c r="E64" s="105" t="str">
        <f>IF(OR(ISBLANK(Term2_Early_Dismissal_1[[#This Row],[Start]]),ISBLANK(Term2_Early_Dismissal_1[[#This Row],[End]])),"",(Term2_Early_Dismissal_1[[#This Row],[End]]-Term2_Early_Dismissal_1[[#This Row],[Start]])*1440)</f>
        <v/>
      </c>
      <c r="F64" s="105" t="str">
        <f>IF(ISBLANK(Term2_Early_Dismissal_1[[#This Row],[Activity]]),"",IF(_xlfn.XLOOKUP(Term2_Early_Dismissal_1[[#This Row],[Activity]],Types_of_Activity[Type of Activity],Types_of_Activity[Classification])=1,Term2_Early_Dismissal_1[[#This Row],[Elapsed]],0))</f>
        <v/>
      </c>
      <c r="G64" s="105" t="str">
        <f>IF(ISBLANK(Term2_Early_Dismissal_1[[#This Row],[Activity]]),"",IF(_xlfn.XLOOKUP(Term2_Early_Dismissal_1[[#This Row],[Activity]],Types_of_Activity[Type of Activity],Types_of_Activity[Classification])=2,Term2_Early_Dismissal_1[[#This Row],[Elapsed]],0))</f>
        <v/>
      </c>
      <c r="H64"/>
      <c r="I64" s="135"/>
      <c r="J64" s="135"/>
      <c r="K64" s="102"/>
      <c r="L64" s="105" t="str">
        <f>IF(OR(ISBLANK(Term2_Early_Dismissal_2[[#This Row],[Start]]),ISBLANK(Term2_Early_Dismissal_2[[#This Row],[End]])),"",(Term2_Early_Dismissal_2[[#This Row],[End]]-Term2_Early_Dismissal_2[[#This Row],[Start]])*1440)</f>
        <v/>
      </c>
      <c r="M64" s="105" t="str">
        <f>IF(ISBLANK(Term2_Early_Dismissal_2[[#This Row],[Activity]]),"",IF(_xlfn.XLOOKUP(Term2_Early_Dismissal_2[[#This Row],[Activity]],Types_of_Activity[Type of Activity],Types_of_Activity[Classification])=1,Term2_Early_Dismissal_2[[#This Row],[Elapsed]],0))</f>
        <v/>
      </c>
      <c r="N64" s="105" t="str">
        <f>IF(ISBLANK(Term2_Early_Dismissal_2[[#This Row],[Activity]]),"",IF(_xlfn.XLOOKUP(Term2_Early_Dismissal_2[[#This Row],[Activity]],Types_of_Activity[Type of Activity],Types_of_Activity[Classification])=2,Term2_Early_Dismissal_2[[#This Row],[Elapsed]],0))</f>
        <v/>
      </c>
      <c r="O64"/>
      <c r="P64" s="135"/>
      <c r="Q64" s="135"/>
      <c r="R64" s="102"/>
      <c r="S64" s="105" t="str">
        <f>IF(OR(ISBLANK(Term2_Early_Dismissal_3[[#This Row],[Start]]),ISBLANK(Term2_Early_Dismissal_3[[#This Row],[End]])),"",(Term2_Early_Dismissal_3[[#This Row],[End]]-Term2_Early_Dismissal_3[[#This Row],[Start]])*1440)</f>
        <v/>
      </c>
      <c r="T64" s="105" t="str">
        <f>IF(ISBLANK(Term2_Early_Dismissal_3[[#This Row],[Activity]]),"",IF(_xlfn.XLOOKUP(Term2_Early_Dismissal_3[[#This Row],[Activity]],Types_of_Activity[Type of Activity],Types_of_Activity[Classification])=1,Term2_Early_Dismissal_3[[#This Row],[Elapsed]],0))</f>
        <v/>
      </c>
      <c r="U64" s="105" t="str">
        <f>IF(ISBLANK(Term2_Early_Dismissal_3[[#This Row],[Activity]]),"",IF(_xlfn.XLOOKUP(Term2_Early_Dismissal_3[[#This Row],[Activity]],Types_of_Activity[Type of Activity],Types_of_Activity[Classification])=2,Term2_Early_Dismissal_3[[#This Row],[Elapsed]],0))</f>
        <v/>
      </c>
      <c r="W64" s="135"/>
      <c r="X64" s="135"/>
      <c r="Y64" s="102"/>
      <c r="Z64" s="105" t="str">
        <f>IF(OR(ISBLANK(Term2_Early_Dismissal_4[[#This Row],[Start]]),ISBLANK(Term2_Early_Dismissal_4[[#This Row],[End]])),"",(Term2_Early_Dismissal_4[[#This Row],[End]]-Term2_Early_Dismissal_4[[#This Row],[Start]])*1440)</f>
        <v/>
      </c>
      <c r="AA64" s="105" t="str">
        <f>IF(ISBLANK(Term2_Early_Dismissal_4[[#This Row],[Activity]]),"",IF(_xlfn.XLOOKUP(Term2_Early_Dismissal_4[[#This Row],[Activity]],Types_of_Activity[Type of Activity],Types_of_Activity[Classification])=1,Term2_Early_Dismissal_4[[#This Row],[Elapsed]],0))</f>
        <v/>
      </c>
      <c r="AB64" s="105" t="str">
        <f>IF(ISBLANK(Term2_Early_Dismissal_4[[#This Row],[Activity]]),"",IF(_xlfn.XLOOKUP(Term2_Early_Dismissal_4[[#This Row],[Activity]],Types_of_Activity[Type of Activity],Types_of_Activity[Classification])=2,Term2_Early_Dismissal_4[[#This Row],[Elapsed]],0))</f>
        <v/>
      </c>
      <c r="AD64" s="135"/>
      <c r="AE64" s="135"/>
      <c r="AF64" s="102"/>
      <c r="AG64" s="105" t="str">
        <f>IF(OR(ISBLANK(Term2_Early_Dismissal_5[[#This Row],[Start]]),ISBLANK(Term2_Early_Dismissal_5[[#This Row],[End]])),"",(Term2_Early_Dismissal_5[[#This Row],[End]]-Term2_Early_Dismissal_5[[#This Row],[Start]])*1440)</f>
        <v/>
      </c>
      <c r="AH64" s="105" t="str">
        <f>IF(ISBLANK(Term2_Early_Dismissal_5[[#This Row],[Activity]]),"",IF(_xlfn.XLOOKUP(Term2_Early_Dismissal_5[[#This Row],[Activity]],Types_of_Activity[Type of Activity],Types_of_Activity[Classification])=1,Term2_Early_Dismissal_5[[#This Row],[Elapsed]],0))</f>
        <v/>
      </c>
      <c r="AI64" s="105" t="str">
        <f>IF(ISBLANK(Term2_Early_Dismissal_5[[#This Row],[Activity]]),"",IF(_xlfn.XLOOKUP(Term2_Early_Dismissal_5[[#This Row],[Activity]],Types_of_Activity[Type of Activity],Types_of_Activity[Classification])=2,Term2_Early_Dismissal_5[[#This Row],[Elapsed]],0))</f>
        <v/>
      </c>
      <c r="AK64" s="135"/>
      <c r="AL64" s="135"/>
      <c r="AM64" s="102"/>
      <c r="AN64" s="105" t="str">
        <f>IF(OR(ISBLANK(Term2_Early_Dismissal_6[[#This Row],[Start]]),ISBLANK(Term2_Early_Dismissal_6[[#This Row],[End]])),"",(Term2_Early_Dismissal_6[[#This Row],[End]]-Term2_Early_Dismissal_6[[#This Row],[Start]])*1440)</f>
        <v/>
      </c>
      <c r="AO64" s="105" t="str">
        <f>IF(ISBLANK(Term2_Early_Dismissal_6[[#This Row],[Activity]]),"",IF(_xlfn.XLOOKUP(Term2_Early_Dismissal_6[[#This Row],[Activity]],Types_of_Activity[Type of Activity],Types_of_Activity[Classification])=1,Term2_Early_Dismissal_6[[#This Row],[Elapsed]],0))</f>
        <v/>
      </c>
      <c r="AP64" s="105" t="str">
        <f>IF(ISBLANK(Term2_Early_Dismissal_6[[#This Row],[Activity]]),"",IF(_xlfn.XLOOKUP(Term2_Early_Dismissal_6[[#This Row],[Activity]],Types_of_Activity[Type of Activity],Types_of_Activity[Classification])=2,Term2_Early_Dismissal_6[[#This Row],[Elapsed]],0))</f>
        <v/>
      </c>
    </row>
    <row r="65" spans="2:42" x14ac:dyDescent="0.3">
      <c r="B65" s="135"/>
      <c r="C65" s="135"/>
      <c r="D65" s="102"/>
      <c r="E65" s="105" t="str">
        <f>IF(OR(ISBLANK(Term2_Early_Dismissal_1[[#This Row],[Start]]),ISBLANK(Term2_Early_Dismissal_1[[#This Row],[End]])),"",(Term2_Early_Dismissal_1[[#This Row],[End]]-Term2_Early_Dismissal_1[[#This Row],[Start]])*1440)</f>
        <v/>
      </c>
      <c r="F65" s="105" t="str">
        <f>IF(ISBLANK(Term2_Early_Dismissal_1[[#This Row],[Activity]]),"",IF(_xlfn.XLOOKUP(Term2_Early_Dismissal_1[[#This Row],[Activity]],Types_of_Activity[Type of Activity],Types_of_Activity[Classification])=1,Term2_Early_Dismissal_1[[#This Row],[Elapsed]],0))</f>
        <v/>
      </c>
      <c r="G65" s="105" t="str">
        <f>IF(ISBLANK(Term2_Early_Dismissal_1[[#This Row],[Activity]]),"",IF(_xlfn.XLOOKUP(Term2_Early_Dismissal_1[[#This Row],[Activity]],Types_of_Activity[Type of Activity],Types_of_Activity[Classification])=2,Term2_Early_Dismissal_1[[#This Row],[Elapsed]],0))</f>
        <v/>
      </c>
      <c r="H65"/>
      <c r="I65" s="135"/>
      <c r="J65" s="135"/>
      <c r="K65" s="102"/>
      <c r="L65" s="105" t="str">
        <f>IF(OR(ISBLANK(Term2_Early_Dismissal_2[[#This Row],[Start]]),ISBLANK(Term2_Early_Dismissal_2[[#This Row],[End]])),"",(Term2_Early_Dismissal_2[[#This Row],[End]]-Term2_Early_Dismissal_2[[#This Row],[Start]])*1440)</f>
        <v/>
      </c>
      <c r="M65" s="105" t="str">
        <f>IF(ISBLANK(Term2_Early_Dismissal_2[[#This Row],[Activity]]),"",IF(_xlfn.XLOOKUP(Term2_Early_Dismissal_2[[#This Row],[Activity]],Types_of_Activity[Type of Activity],Types_of_Activity[Classification])=1,Term2_Early_Dismissal_2[[#This Row],[Elapsed]],0))</f>
        <v/>
      </c>
      <c r="N65" s="105" t="str">
        <f>IF(ISBLANK(Term2_Early_Dismissal_2[[#This Row],[Activity]]),"",IF(_xlfn.XLOOKUP(Term2_Early_Dismissal_2[[#This Row],[Activity]],Types_of_Activity[Type of Activity],Types_of_Activity[Classification])=2,Term2_Early_Dismissal_2[[#This Row],[Elapsed]],0))</f>
        <v/>
      </c>
      <c r="O65"/>
      <c r="P65" s="135"/>
      <c r="Q65" s="135"/>
      <c r="R65" s="102"/>
      <c r="S65" s="105" t="str">
        <f>IF(OR(ISBLANK(Term2_Early_Dismissal_3[[#This Row],[Start]]),ISBLANK(Term2_Early_Dismissal_3[[#This Row],[End]])),"",(Term2_Early_Dismissal_3[[#This Row],[End]]-Term2_Early_Dismissal_3[[#This Row],[Start]])*1440)</f>
        <v/>
      </c>
      <c r="T65" s="105" t="str">
        <f>IF(ISBLANK(Term2_Early_Dismissal_3[[#This Row],[Activity]]),"",IF(_xlfn.XLOOKUP(Term2_Early_Dismissal_3[[#This Row],[Activity]],Types_of_Activity[Type of Activity],Types_of_Activity[Classification])=1,Term2_Early_Dismissal_3[[#This Row],[Elapsed]],0))</f>
        <v/>
      </c>
      <c r="U65" s="105" t="str">
        <f>IF(ISBLANK(Term2_Early_Dismissal_3[[#This Row],[Activity]]),"",IF(_xlfn.XLOOKUP(Term2_Early_Dismissal_3[[#This Row],[Activity]],Types_of_Activity[Type of Activity],Types_of_Activity[Classification])=2,Term2_Early_Dismissal_3[[#This Row],[Elapsed]],0))</f>
        <v/>
      </c>
      <c r="W65" s="135"/>
      <c r="X65" s="135"/>
      <c r="Y65" s="102"/>
      <c r="Z65" s="105" t="str">
        <f>IF(OR(ISBLANK(Term2_Early_Dismissal_4[[#This Row],[Start]]),ISBLANK(Term2_Early_Dismissal_4[[#This Row],[End]])),"",(Term2_Early_Dismissal_4[[#This Row],[End]]-Term2_Early_Dismissal_4[[#This Row],[Start]])*1440)</f>
        <v/>
      </c>
      <c r="AA65" s="105" t="str">
        <f>IF(ISBLANK(Term2_Early_Dismissal_4[[#This Row],[Activity]]),"",IF(_xlfn.XLOOKUP(Term2_Early_Dismissal_4[[#This Row],[Activity]],Types_of_Activity[Type of Activity],Types_of_Activity[Classification])=1,Term2_Early_Dismissal_4[[#This Row],[Elapsed]],0))</f>
        <v/>
      </c>
      <c r="AB65" s="105" t="str">
        <f>IF(ISBLANK(Term2_Early_Dismissal_4[[#This Row],[Activity]]),"",IF(_xlfn.XLOOKUP(Term2_Early_Dismissal_4[[#This Row],[Activity]],Types_of_Activity[Type of Activity],Types_of_Activity[Classification])=2,Term2_Early_Dismissal_4[[#This Row],[Elapsed]],0))</f>
        <v/>
      </c>
      <c r="AD65" s="135"/>
      <c r="AE65" s="135"/>
      <c r="AF65" s="102"/>
      <c r="AG65" s="105" t="str">
        <f>IF(OR(ISBLANK(Term2_Early_Dismissal_5[[#This Row],[Start]]),ISBLANK(Term2_Early_Dismissal_5[[#This Row],[End]])),"",(Term2_Early_Dismissal_5[[#This Row],[End]]-Term2_Early_Dismissal_5[[#This Row],[Start]])*1440)</f>
        <v/>
      </c>
      <c r="AH65" s="105" t="str">
        <f>IF(ISBLANK(Term2_Early_Dismissal_5[[#This Row],[Activity]]),"",IF(_xlfn.XLOOKUP(Term2_Early_Dismissal_5[[#This Row],[Activity]],Types_of_Activity[Type of Activity],Types_of_Activity[Classification])=1,Term2_Early_Dismissal_5[[#This Row],[Elapsed]],0))</f>
        <v/>
      </c>
      <c r="AI65" s="105" t="str">
        <f>IF(ISBLANK(Term2_Early_Dismissal_5[[#This Row],[Activity]]),"",IF(_xlfn.XLOOKUP(Term2_Early_Dismissal_5[[#This Row],[Activity]],Types_of_Activity[Type of Activity],Types_of_Activity[Classification])=2,Term2_Early_Dismissal_5[[#This Row],[Elapsed]],0))</f>
        <v/>
      </c>
      <c r="AK65" s="135"/>
      <c r="AL65" s="135"/>
      <c r="AM65" s="102"/>
      <c r="AN65" s="105" t="str">
        <f>IF(OR(ISBLANK(Term2_Early_Dismissal_6[[#This Row],[Start]]),ISBLANK(Term2_Early_Dismissal_6[[#This Row],[End]])),"",(Term2_Early_Dismissal_6[[#This Row],[End]]-Term2_Early_Dismissal_6[[#This Row],[Start]])*1440)</f>
        <v/>
      </c>
      <c r="AO65" s="105" t="str">
        <f>IF(ISBLANK(Term2_Early_Dismissal_6[[#This Row],[Activity]]),"",IF(_xlfn.XLOOKUP(Term2_Early_Dismissal_6[[#This Row],[Activity]],Types_of_Activity[Type of Activity],Types_of_Activity[Classification])=1,Term2_Early_Dismissal_6[[#This Row],[Elapsed]],0))</f>
        <v/>
      </c>
      <c r="AP65" s="105" t="str">
        <f>IF(ISBLANK(Term2_Early_Dismissal_6[[#This Row],[Activity]]),"",IF(_xlfn.XLOOKUP(Term2_Early_Dismissal_6[[#This Row],[Activity]],Types_of_Activity[Type of Activity],Types_of_Activity[Classification])=2,Term2_Early_Dismissal_6[[#This Row],[Elapsed]],0))</f>
        <v/>
      </c>
    </row>
    <row r="66" spans="2:42" x14ac:dyDescent="0.3">
      <c r="B66" s="135"/>
      <c r="C66" s="135"/>
      <c r="D66" s="102"/>
      <c r="E66" s="105" t="str">
        <f>IF(OR(ISBLANK(Term2_Early_Dismissal_1[[#This Row],[Start]]),ISBLANK(Term2_Early_Dismissal_1[[#This Row],[End]])),"",(Term2_Early_Dismissal_1[[#This Row],[End]]-Term2_Early_Dismissal_1[[#This Row],[Start]])*1440)</f>
        <v/>
      </c>
      <c r="F66" s="105" t="str">
        <f>IF(ISBLANK(Term2_Early_Dismissal_1[[#This Row],[Activity]]),"",IF(_xlfn.XLOOKUP(Term2_Early_Dismissal_1[[#This Row],[Activity]],Types_of_Activity[Type of Activity],Types_of_Activity[Classification])=1,Term2_Early_Dismissal_1[[#This Row],[Elapsed]],0))</f>
        <v/>
      </c>
      <c r="G66" s="105" t="str">
        <f>IF(ISBLANK(Term2_Early_Dismissal_1[[#This Row],[Activity]]),"",IF(_xlfn.XLOOKUP(Term2_Early_Dismissal_1[[#This Row],[Activity]],Types_of_Activity[Type of Activity],Types_of_Activity[Classification])=2,Term2_Early_Dismissal_1[[#This Row],[Elapsed]],0))</f>
        <v/>
      </c>
      <c r="H66"/>
      <c r="I66" s="135"/>
      <c r="J66" s="135"/>
      <c r="K66" s="102"/>
      <c r="L66" s="105" t="str">
        <f>IF(OR(ISBLANK(Term2_Early_Dismissal_2[[#This Row],[Start]]),ISBLANK(Term2_Early_Dismissal_2[[#This Row],[End]])),"",(Term2_Early_Dismissal_2[[#This Row],[End]]-Term2_Early_Dismissal_2[[#This Row],[Start]])*1440)</f>
        <v/>
      </c>
      <c r="M66" s="105" t="str">
        <f>IF(ISBLANK(Term2_Early_Dismissal_2[[#This Row],[Activity]]),"",IF(_xlfn.XLOOKUP(Term2_Early_Dismissal_2[[#This Row],[Activity]],Types_of_Activity[Type of Activity],Types_of_Activity[Classification])=1,Term2_Early_Dismissal_2[[#This Row],[Elapsed]],0))</f>
        <v/>
      </c>
      <c r="N66" s="105" t="str">
        <f>IF(ISBLANK(Term2_Early_Dismissal_2[[#This Row],[Activity]]),"",IF(_xlfn.XLOOKUP(Term2_Early_Dismissal_2[[#This Row],[Activity]],Types_of_Activity[Type of Activity],Types_of_Activity[Classification])=2,Term2_Early_Dismissal_2[[#This Row],[Elapsed]],0))</f>
        <v/>
      </c>
      <c r="O66"/>
      <c r="P66" s="135"/>
      <c r="Q66" s="135"/>
      <c r="R66" s="102"/>
      <c r="S66" s="105" t="str">
        <f>IF(OR(ISBLANK(Term2_Early_Dismissal_3[[#This Row],[Start]]),ISBLANK(Term2_Early_Dismissal_3[[#This Row],[End]])),"",(Term2_Early_Dismissal_3[[#This Row],[End]]-Term2_Early_Dismissal_3[[#This Row],[Start]])*1440)</f>
        <v/>
      </c>
      <c r="T66" s="105" t="str">
        <f>IF(ISBLANK(Term2_Early_Dismissal_3[[#This Row],[Activity]]),"",IF(_xlfn.XLOOKUP(Term2_Early_Dismissal_3[[#This Row],[Activity]],Types_of_Activity[Type of Activity],Types_of_Activity[Classification])=1,Term2_Early_Dismissal_3[[#This Row],[Elapsed]],0))</f>
        <v/>
      </c>
      <c r="U66" s="105" t="str">
        <f>IF(ISBLANK(Term2_Early_Dismissal_3[[#This Row],[Activity]]),"",IF(_xlfn.XLOOKUP(Term2_Early_Dismissal_3[[#This Row],[Activity]],Types_of_Activity[Type of Activity],Types_of_Activity[Classification])=2,Term2_Early_Dismissal_3[[#This Row],[Elapsed]],0))</f>
        <v/>
      </c>
      <c r="W66" s="135"/>
      <c r="X66" s="135"/>
      <c r="Y66" s="102"/>
      <c r="Z66" s="105" t="str">
        <f>IF(OR(ISBLANK(Term2_Early_Dismissal_4[[#This Row],[Start]]),ISBLANK(Term2_Early_Dismissal_4[[#This Row],[End]])),"",(Term2_Early_Dismissal_4[[#This Row],[End]]-Term2_Early_Dismissal_4[[#This Row],[Start]])*1440)</f>
        <v/>
      </c>
      <c r="AA66" s="105" t="str">
        <f>IF(ISBLANK(Term2_Early_Dismissal_4[[#This Row],[Activity]]),"",IF(_xlfn.XLOOKUP(Term2_Early_Dismissal_4[[#This Row],[Activity]],Types_of_Activity[Type of Activity],Types_of_Activity[Classification])=1,Term2_Early_Dismissal_4[[#This Row],[Elapsed]],0))</f>
        <v/>
      </c>
      <c r="AB66" s="105" t="str">
        <f>IF(ISBLANK(Term2_Early_Dismissal_4[[#This Row],[Activity]]),"",IF(_xlfn.XLOOKUP(Term2_Early_Dismissal_4[[#This Row],[Activity]],Types_of_Activity[Type of Activity],Types_of_Activity[Classification])=2,Term2_Early_Dismissal_4[[#This Row],[Elapsed]],0))</f>
        <v/>
      </c>
      <c r="AD66" s="135"/>
      <c r="AE66" s="135"/>
      <c r="AF66" s="102"/>
      <c r="AG66" s="105" t="str">
        <f>IF(OR(ISBLANK(Term2_Early_Dismissal_5[[#This Row],[Start]]),ISBLANK(Term2_Early_Dismissal_5[[#This Row],[End]])),"",(Term2_Early_Dismissal_5[[#This Row],[End]]-Term2_Early_Dismissal_5[[#This Row],[Start]])*1440)</f>
        <v/>
      </c>
      <c r="AH66" s="105" t="str">
        <f>IF(ISBLANK(Term2_Early_Dismissal_5[[#This Row],[Activity]]),"",IF(_xlfn.XLOOKUP(Term2_Early_Dismissal_5[[#This Row],[Activity]],Types_of_Activity[Type of Activity],Types_of_Activity[Classification])=1,Term2_Early_Dismissal_5[[#This Row],[Elapsed]],0))</f>
        <v/>
      </c>
      <c r="AI66" s="105" t="str">
        <f>IF(ISBLANK(Term2_Early_Dismissal_5[[#This Row],[Activity]]),"",IF(_xlfn.XLOOKUP(Term2_Early_Dismissal_5[[#This Row],[Activity]],Types_of_Activity[Type of Activity],Types_of_Activity[Classification])=2,Term2_Early_Dismissal_5[[#This Row],[Elapsed]],0))</f>
        <v/>
      </c>
      <c r="AK66" s="135"/>
      <c r="AL66" s="135"/>
      <c r="AM66" s="102"/>
      <c r="AN66" s="105" t="str">
        <f>IF(OR(ISBLANK(Term2_Early_Dismissal_6[[#This Row],[Start]]),ISBLANK(Term2_Early_Dismissal_6[[#This Row],[End]])),"",(Term2_Early_Dismissal_6[[#This Row],[End]]-Term2_Early_Dismissal_6[[#This Row],[Start]])*1440)</f>
        <v/>
      </c>
      <c r="AO66" s="105" t="str">
        <f>IF(ISBLANK(Term2_Early_Dismissal_6[[#This Row],[Activity]]),"",IF(_xlfn.XLOOKUP(Term2_Early_Dismissal_6[[#This Row],[Activity]],Types_of_Activity[Type of Activity],Types_of_Activity[Classification])=1,Term2_Early_Dismissal_6[[#This Row],[Elapsed]],0))</f>
        <v/>
      </c>
      <c r="AP66" s="105" t="str">
        <f>IF(ISBLANK(Term2_Early_Dismissal_6[[#This Row],[Activity]]),"",IF(_xlfn.XLOOKUP(Term2_Early_Dismissal_6[[#This Row],[Activity]],Types_of_Activity[Type of Activity],Types_of_Activity[Classification])=2,Term2_Early_Dismissal_6[[#This Row],[Elapsed]],0))</f>
        <v/>
      </c>
    </row>
    <row r="67" spans="2:42" x14ac:dyDescent="0.3">
      <c r="B67" s="135"/>
      <c r="C67" s="135"/>
      <c r="D67" s="102"/>
      <c r="E67" s="105" t="str">
        <f>IF(OR(ISBLANK(Term2_Early_Dismissal_1[[#This Row],[Start]]),ISBLANK(Term2_Early_Dismissal_1[[#This Row],[End]])),"",(Term2_Early_Dismissal_1[[#This Row],[End]]-Term2_Early_Dismissal_1[[#This Row],[Start]])*1440)</f>
        <v/>
      </c>
      <c r="F67" s="105" t="str">
        <f>IF(ISBLANK(Term2_Early_Dismissal_1[[#This Row],[Activity]]),"",IF(_xlfn.XLOOKUP(Term2_Early_Dismissal_1[[#This Row],[Activity]],Types_of_Activity[Type of Activity],Types_of_Activity[Classification])=1,Term2_Early_Dismissal_1[[#This Row],[Elapsed]],0))</f>
        <v/>
      </c>
      <c r="G67" s="105" t="str">
        <f>IF(ISBLANK(Term2_Early_Dismissal_1[[#This Row],[Activity]]),"",IF(_xlfn.XLOOKUP(Term2_Early_Dismissal_1[[#This Row],[Activity]],Types_of_Activity[Type of Activity],Types_of_Activity[Classification])=2,Term2_Early_Dismissal_1[[#This Row],[Elapsed]],0))</f>
        <v/>
      </c>
      <c r="H67"/>
      <c r="I67" s="135"/>
      <c r="J67" s="135"/>
      <c r="K67" s="102"/>
      <c r="L67" s="105" t="str">
        <f>IF(OR(ISBLANK(Term2_Early_Dismissal_2[[#This Row],[Start]]),ISBLANK(Term2_Early_Dismissal_2[[#This Row],[End]])),"",(Term2_Early_Dismissal_2[[#This Row],[End]]-Term2_Early_Dismissal_2[[#This Row],[Start]])*1440)</f>
        <v/>
      </c>
      <c r="M67" s="105" t="str">
        <f>IF(ISBLANK(Term2_Early_Dismissal_2[[#This Row],[Activity]]),"",IF(_xlfn.XLOOKUP(Term2_Early_Dismissal_2[[#This Row],[Activity]],Types_of_Activity[Type of Activity],Types_of_Activity[Classification])=1,Term2_Early_Dismissal_2[[#This Row],[Elapsed]],0))</f>
        <v/>
      </c>
      <c r="N67" s="105" t="str">
        <f>IF(ISBLANK(Term2_Early_Dismissal_2[[#This Row],[Activity]]),"",IF(_xlfn.XLOOKUP(Term2_Early_Dismissal_2[[#This Row],[Activity]],Types_of_Activity[Type of Activity],Types_of_Activity[Classification])=2,Term2_Early_Dismissal_2[[#This Row],[Elapsed]],0))</f>
        <v/>
      </c>
      <c r="O67"/>
      <c r="P67" s="135"/>
      <c r="Q67" s="135"/>
      <c r="R67" s="102"/>
      <c r="S67" s="105" t="str">
        <f>IF(OR(ISBLANK(Term2_Early_Dismissal_3[[#This Row],[Start]]),ISBLANK(Term2_Early_Dismissal_3[[#This Row],[End]])),"",(Term2_Early_Dismissal_3[[#This Row],[End]]-Term2_Early_Dismissal_3[[#This Row],[Start]])*1440)</f>
        <v/>
      </c>
      <c r="T67" s="105" t="str">
        <f>IF(ISBLANK(Term2_Early_Dismissal_3[[#This Row],[Activity]]),"",IF(_xlfn.XLOOKUP(Term2_Early_Dismissal_3[[#This Row],[Activity]],Types_of_Activity[Type of Activity],Types_of_Activity[Classification])=1,Term2_Early_Dismissal_3[[#This Row],[Elapsed]],0))</f>
        <v/>
      </c>
      <c r="U67" s="105" t="str">
        <f>IF(ISBLANK(Term2_Early_Dismissal_3[[#This Row],[Activity]]),"",IF(_xlfn.XLOOKUP(Term2_Early_Dismissal_3[[#This Row],[Activity]],Types_of_Activity[Type of Activity],Types_of_Activity[Classification])=2,Term2_Early_Dismissal_3[[#This Row],[Elapsed]],0))</f>
        <v/>
      </c>
      <c r="W67" s="135"/>
      <c r="X67" s="135"/>
      <c r="Y67" s="102"/>
      <c r="Z67" s="105" t="str">
        <f>IF(OR(ISBLANK(Term2_Early_Dismissal_4[[#This Row],[Start]]),ISBLANK(Term2_Early_Dismissal_4[[#This Row],[End]])),"",(Term2_Early_Dismissal_4[[#This Row],[End]]-Term2_Early_Dismissal_4[[#This Row],[Start]])*1440)</f>
        <v/>
      </c>
      <c r="AA67" s="105" t="str">
        <f>IF(ISBLANK(Term2_Early_Dismissal_4[[#This Row],[Activity]]),"",IF(_xlfn.XLOOKUP(Term2_Early_Dismissal_4[[#This Row],[Activity]],Types_of_Activity[Type of Activity],Types_of_Activity[Classification])=1,Term2_Early_Dismissal_4[[#This Row],[Elapsed]],0))</f>
        <v/>
      </c>
      <c r="AB67" s="105" t="str">
        <f>IF(ISBLANK(Term2_Early_Dismissal_4[[#This Row],[Activity]]),"",IF(_xlfn.XLOOKUP(Term2_Early_Dismissal_4[[#This Row],[Activity]],Types_of_Activity[Type of Activity],Types_of_Activity[Classification])=2,Term2_Early_Dismissal_4[[#This Row],[Elapsed]],0))</f>
        <v/>
      </c>
      <c r="AD67" s="135"/>
      <c r="AE67" s="135"/>
      <c r="AF67" s="102"/>
      <c r="AG67" s="105" t="str">
        <f>IF(OR(ISBLANK(Term2_Early_Dismissal_5[[#This Row],[Start]]),ISBLANK(Term2_Early_Dismissal_5[[#This Row],[End]])),"",(Term2_Early_Dismissal_5[[#This Row],[End]]-Term2_Early_Dismissal_5[[#This Row],[Start]])*1440)</f>
        <v/>
      </c>
      <c r="AH67" s="105" t="str">
        <f>IF(ISBLANK(Term2_Early_Dismissal_5[[#This Row],[Activity]]),"",IF(_xlfn.XLOOKUP(Term2_Early_Dismissal_5[[#This Row],[Activity]],Types_of_Activity[Type of Activity],Types_of_Activity[Classification])=1,Term2_Early_Dismissal_5[[#This Row],[Elapsed]],0))</f>
        <v/>
      </c>
      <c r="AI67" s="105" t="str">
        <f>IF(ISBLANK(Term2_Early_Dismissal_5[[#This Row],[Activity]]),"",IF(_xlfn.XLOOKUP(Term2_Early_Dismissal_5[[#This Row],[Activity]],Types_of_Activity[Type of Activity],Types_of_Activity[Classification])=2,Term2_Early_Dismissal_5[[#This Row],[Elapsed]],0))</f>
        <v/>
      </c>
      <c r="AK67" s="135"/>
      <c r="AL67" s="135"/>
      <c r="AM67" s="102"/>
      <c r="AN67" s="105" t="str">
        <f>IF(OR(ISBLANK(Term2_Early_Dismissal_6[[#This Row],[Start]]),ISBLANK(Term2_Early_Dismissal_6[[#This Row],[End]])),"",(Term2_Early_Dismissal_6[[#This Row],[End]]-Term2_Early_Dismissal_6[[#This Row],[Start]])*1440)</f>
        <v/>
      </c>
      <c r="AO67" s="105" t="str">
        <f>IF(ISBLANK(Term2_Early_Dismissal_6[[#This Row],[Activity]]),"",IF(_xlfn.XLOOKUP(Term2_Early_Dismissal_6[[#This Row],[Activity]],Types_of_Activity[Type of Activity],Types_of_Activity[Classification])=1,Term2_Early_Dismissal_6[[#This Row],[Elapsed]],0))</f>
        <v/>
      </c>
      <c r="AP67" s="105" t="str">
        <f>IF(ISBLANK(Term2_Early_Dismissal_6[[#This Row],[Activity]]),"",IF(_xlfn.XLOOKUP(Term2_Early_Dismissal_6[[#This Row],[Activity]],Types_of_Activity[Type of Activity],Types_of_Activity[Classification])=2,Term2_Early_Dismissal_6[[#This Row],[Elapsed]],0))</f>
        <v/>
      </c>
    </row>
    <row r="68" spans="2:42" x14ac:dyDescent="0.3">
      <c r="B68" s="135"/>
      <c r="C68" s="135"/>
      <c r="D68" s="102"/>
      <c r="E68" s="105" t="str">
        <f>IF(OR(ISBLANK(Term2_Early_Dismissal_1[[#This Row],[Start]]),ISBLANK(Term2_Early_Dismissal_1[[#This Row],[End]])),"",(Term2_Early_Dismissal_1[[#This Row],[End]]-Term2_Early_Dismissal_1[[#This Row],[Start]])*1440)</f>
        <v/>
      </c>
      <c r="F68" s="105" t="str">
        <f>IF(ISBLANK(Term2_Early_Dismissal_1[[#This Row],[Activity]]),"",IF(_xlfn.XLOOKUP(Term2_Early_Dismissal_1[[#This Row],[Activity]],Types_of_Activity[Type of Activity],Types_of_Activity[Classification])=1,Term2_Early_Dismissal_1[[#This Row],[Elapsed]],0))</f>
        <v/>
      </c>
      <c r="G68" s="105" t="str">
        <f>IF(ISBLANK(Term2_Early_Dismissal_1[[#This Row],[Activity]]),"",IF(_xlfn.XLOOKUP(Term2_Early_Dismissal_1[[#This Row],[Activity]],Types_of_Activity[Type of Activity],Types_of_Activity[Classification])=2,Term2_Early_Dismissal_1[[#This Row],[Elapsed]],0))</f>
        <v/>
      </c>
      <c r="H68"/>
      <c r="I68" s="135"/>
      <c r="J68" s="135"/>
      <c r="K68" s="102"/>
      <c r="L68" s="105" t="str">
        <f>IF(OR(ISBLANK(Term2_Early_Dismissal_2[[#This Row],[Start]]),ISBLANK(Term2_Early_Dismissal_2[[#This Row],[End]])),"",(Term2_Early_Dismissal_2[[#This Row],[End]]-Term2_Early_Dismissal_2[[#This Row],[Start]])*1440)</f>
        <v/>
      </c>
      <c r="M68" s="105" t="str">
        <f>IF(ISBLANK(Term2_Early_Dismissal_2[[#This Row],[Activity]]),"",IF(_xlfn.XLOOKUP(Term2_Early_Dismissal_2[[#This Row],[Activity]],Types_of_Activity[Type of Activity],Types_of_Activity[Classification])=1,Term2_Early_Dismissal_2[[#This Row],[Elapsed]],0))</f>
        <v/>
      </c>
      <c r="N68" s="105" t="str">
        <f>IF(ISBLANK(Term2_Early_Dismissal_2[[#This Row],[Activity]]),"",IF(_xlfn.XLOOKUP(Term2_Early_Dismissal_2[[#This Row],[Activity]],Types_of_Activity[Type of Activity],Types_of_Activity[Classification])=2,Term2_Early_Dismissal_2[[#This Row],[Elapsed]],0))</f>
        <v/>
      </c>
      <c r="O68"/>
      <c r="P68" s="135"/>
      <c r="Q68" s="135"/>
      <c r="R68" s="102"/>
      <c r="S68" s="105" t="str">
        <f>IF(OR(ISBLANK(Term2_Early_Dismissal_3[[#This Row],[Start]]),ISBLANK(Term2_Early_Dismissal_3[[#This Row],[End]])),"",(Term2_Early_Dismissal_3[[#This Row],[End]]-Term2_Early_Dismissal_3[[#This Row],[Start]])*1440)</f>
        <v/>
      </c>
      <c r="T68" s="105" t="str">
        <f>IF(ISBLANK(Term2_Early_Dismissal_3[[#This Row],[Activity]]),"",IF(_xlfn.XLOOKUP(Term2_Early_Dismissal_3[[#This Row],[Activity]],Types_of_Activity[Type of Activity],Types_of_Activity[Classification])=1,Term2_Early_Dismissal_3[[#This Row],[Elapsed]],0))</f>
        <v/>
      </c>
      <c r="U68" s="105" t="str">
        <f>IF(ISBLANK(Term2_Early_Dismissal_3[[#This Row],[Activity]]),"",IF(_xlfn.XLOOKUP(Term2_Early_Dismissal_3[[#This Row],[Activity]],Types_of_Activity[Type of Activity],Types_of_Activity[Classification])=2,Term2_Early_Dismissal_3[[#This Row],[Elapsed]],0))</f>
        <v/>
      </c>
      <c r="W68" s="135"/>
      <c r="X68" s="135"/>
      <c r="Y68" s="102"/>
      <c r="Z68" s="105" t="str">
        <f>IF(OR(ISBLANK(Term2_Early_Dismissal_4[[#This Row],[Start]]),ISBLANK(Term2_Early_Dismissal_4[[#This Row],[End]])),"",(Term2_Early_Dismissal_4[[#This Row],[End]]-Term2_Early_Dismissal_4[[#This Row],[Start]])*1440)</f>
        <v/>
      </c>
      <c r="AA68" s="105" t="str">
        <f>IF(ISBLANK(Term2_Early_Dismissal_4[[#This Row],[Activity]]),"",IF(_xlfn.XLOOKUP(Term2_Early_Dismissal_4[[#This Row],[Activity]],Types_of_Activity[Type of Activity],Types_of_Activity[Classification])=1,Term2_Early_Dismissal_4[[#This Row],[Elapsed]],0))</f>
        <v/>
      </c>
      <c r="AB68" s="105" t="str">
        <f>IF(ISBLANK(Term2_Early_Dismissal_4[[#This Row],[Activity]]),"",IF(_xlfn.XLOOKUP(Term2_Early_Dismissal_4[[#This Row],[Activity]],Types_of_Activity[Type of Activity],Types_of_Activity[Classification])=2,Term2_Early_Dismissal_4[[#This Row],[Elapsed]],0))</f>
        <v/>
      </c>
      <c r="AD68" s="135"/>
      <c r="AE68" s="135"/>
      <c r="AF68" s="102"/>
      <c r="AG68" s="105" t="str">
        <f>IF(OR(ISBLANK(Term2_Early_Dismissal_5[[#This Row],[Start]]),ISBLANK(Term2_Early_Dismissal_5[[#This Row],[End]])),"",(Term2_Early_Dismissal_5[[#This Row],[End]]-Term2_Early_Dismissal_5[[#This Row],[Start]])*1440)</f>
        <v/>
      </c>
      <c r="AH68" s="105" t="str">
        <f>IF(ISBLANK(Term2_Early_Dismissal_5[[#This Row],[Activity]]),"",IF(_xlfn.XLOOKUP(Term2_Early_Dismissal_5[[#This Row],[Activity]],Types_of_Activity[Type of Activity],Types_of_Activity[Classification])=1,Term2_Early_Dismissal_5[[#This Row],[Elapsed]],0))</f>
        <v/>
      </c>
      <c r="AI68" s="105" t="str">
        <f>IF(ISBLANK(Term2_Early_Dismissal_5[[#This Row],[Activity]]),"",IF(_xlfn.XLOOKUP(Term2_Early_Dismissal_5[[#This Row],[Activity]],Types_of_Activity[Type of Activity],Types_of_Activity[Classification])=2,Term2_Early_Dismissal_5[[#This Row],[Elapsed]],0))</f>
        <v/>
      </c>
      <c r="AK68" s="135"/>
      <c r="AL68" s="135"/>
      <c r="AM68" s="102"/>
      <c r="AN68" s="105" t="str">
        <f>IF(OR(ISBLANK(Term2_Early_Dismissal_6[[#This Row],[Start]]),ISBLANK(Term2_Early_Dismissal_6[[#This Row],[End]])),"",(Term2_Early_Dismissal_6[[#This Row],[End]]-Term2_Early_Dismissal_6[[#This Row],[Start]])*1440)</f>
        <v/>
      </c>
      <c r="AO68" s="105" t="str">
        <f>IF(ISBLANK(Term2_Early_Dismissal_6[[#This Row],[Activity]]),"",IF(_xlfn.XLOOKUP(Term2_Early_Dismissal_6[[#This Row],[Activity]],Types_of_Activity[Type of Activity],Types_of_Activity[Classification])=1,Term2_Early_Dismissal_6[[#This Row],[Elapsed]],0))</f>
        <v/>
      </c>
      <c r="AP68" s="105" t="str">
        <f>IF(ISBLANK(Term2_Early_Dismissal_6[[#This Row],[Activity]]),"",IF(_xlfn.XLOOKUP(Term2_Early_Dismissal_6[[#This Row],[Activity]],Types_of_Activity[Type of Activity],Types_of_Activity[Classification])=2,Term2_Early_Dismissal_6[[#This Row],[Elapsed]],0))</f>
        <v/>
      </c>
    </row>
    <row r="69" spans="2:42" x14ac:dyDescent="0.3">
      <c r="B69" s="135"/>
      <c r="C69" s="135"/>
      <c r="D69" s="102"/>
      <c r="E69" s="105" t="str">
        <f>IF(OR(ISBLANK(Term2_Early_Dismissal_1[[#This Row],[Start]]),ISBLANK(Term2_Early_Dismissal_1[[#This Row],[End]])),"",(Term2_Early_Dismissal_1[[#This Row],[End]]-Term2_Early_Dismissal_1[[#This Row],[Start]])*1440)</f>
        <v/>
      </c>
      <c r="F69" s="105" t="str">
        <f>IF(ISBLANK(Term2_Early_Dismissal_1[[#This Row],[Activity]]),"",IF(_xlfn.XLOOKUP(Term2_Early_Dismissal_1[[#This Row],[Activity]],Types_of_Activity[Type of Activity],Types_of_Activity[Classification])=1,Term2_Early_Dismissal_1[[#This Row],[Elapsed]],0))</f>
        <v/>
      </c>
      <c r="G69" s="105" t="str">
        <f>IF(ISBLANK(Term2_Early_Dismissal_1[[#This Row],[Activity]]),"",IF(_xlfn.XLOOKUP(Term2_Early_Dismissal_1[[#This Row],[Activity]],Types_of_Activity[Type of Activity],Types_of_Activity[Classification])=2,Term2_Early_Dismissal_1[[#This Row],[Elapsed]],0))</f>
        <v/>
      </c>
      <c r="H69"/>
      <c r="I69" s="135"/>
      <c r="J69" s="135"/>
      <c r="K69" s="102"/>
      <c r="L69" s="105" t="str">
        <f>IF(OR(ISBLANK(Term2_Early_Dismissal_2[[#This Row],[Start]]),ISBLANK(Term2_Early_Dismissal_2[[#This Row],[End]])),"",(Term2_Early_Dismissal_2[[#This Row],[End]]-Term2_Early_Dismissal_2[[#This Row],[Start]])*1440)</f>
        <v/>
      </c>
      <c r="M69" s="105" t="str">
        <f>IF(ISBLANK(Term2_Early_Dismissal_2[[#This Row],[Activity]]),"",IF(_xlfn.XLOOKUP(Term2_Early_Dismissal_2[[#This Row],[Activity]],Types_of_Activity[Type of Activity],Types_of_Activity[Classification])=1,Term2_Early_Dismissal_2[[#This Row],[Elapsed]],0))</f>
        <v/>
      </c>
      <c r="N69" s="105" t="str">
        <f>IF(ISBLANK(Term2_Early_Dismissal_2[[#This Row],[Activity]]),"",IF(_xlfn.XLOOKUP(Term2_Early_Dismissal_2[[#This Row],[Activity]],Types_of_Activity[Type of Activity],Types_of_Activity[Classification])=2,Term2_Early_Dismissal_2[[#This Row],[Elapsed]],0))</f>
        <v/>
      </c>
      <c r="O69"/>
      <c r="P69" s="135"/>
      <c r="Q69" s="135"/>
      <c r="R69" s="102"/>
      <c r="S69" s="105" t="str">
        <f>IF(OR(ISBLANK(Term2_Early_Dismissal_3[[#This Row],[Start]]),ISBLANK(Term2_Early_Dismissal_3[[#This Row],[End]])),"",(Term2_Early_Dismissal_3[[#This Row],[End]]-Term2_Early_Dismissal_3[[#This Row],[Start]])*1440)</f>
        <v/>
      </c>
      <c r="T69" s="105" t="str">
        <f>IF(ISBLANK(Term2_Early_Dismissal_3[[#This Row],[Activity]]),"",IF(_xlfn.XLOOKUP(Term2_Early_Dismissal_3[[#This Row],[Activity]],Types_of_Activity[Type of Activity],Types_of_Activity[Classification])=1,Term2_Early_Dismissal_3[[#This Row],[Elapsed]],0))</f>
        <v/>
      </c>
      <c r="U69" s="105" t="str">
        <f>IF(ISBLANK(Term2_Early_Dismissal_3[[#This Row],[Activity]]),"",IF(_xlfn.XLOOKUP(Term2_Early_Dismissal_3[[#This Row],[Activity]],Types_of_Activity[Type of Activity],Types_of_Activity[Classification])=2,Term2_Early_Dismissal_3[[#This Row],[Elapsed]],0))</f>
        <v/>
      </c>
      <c r="W69" s="135"/>
      <c r="X69" s="135"/>
      <c r="Y69" s="102"/>
      <c r="Z69" s="105" t="str">
        <f>IF(OR(ISBLANK(Term2_Early_Dismissal_4[[#This Row],[Start]]),ISBLANK(Term2_Early_Dismissal_4[[#This Row],[End]])),"",(Term2_Early_Dismissal_4[[#This Row],[End]]-Term2_Early_Dismissal_4[[#This Row],[Start]])*1440)</f>
        <v/>
      </c>
      <c r="AA69" s="105" t="str">
        <f>IF(ISBLANK(Term2_Early_Dismissal_4[[#This Row],[Activity]]),"",IF(_xlfn.XLOOKUP(Term2_Early_Dismissal_4[[#This Row],[Activity]],Types_of_Activity[Type of Activity],Types_of_Activity[Classification])=1,Term2_Early_Dismissal_4[[#This Row],[Elapsed]],0))</f>
        <v/>
      </c>
      <c r="AB69" s="105" t="str">
        <f>IF(ISBLANK(Term2_Early_Dismissal_4[[#This Row],[Activity]]),"",IF(_xlfn.XLOOKUP(Term2_Early_Dismissal_4[[#This Row],[Activity]],Types_of_Activity[Type of Activity],Types_of_Activity[Classification])=2,Term2_Early_Dismissal_4[[#This Row],[Elapsed]],0))</f>
        <v/>
      </c>
      <c r="AD69" s="135"/>
      <c r="AE69" s="135"/>
      <c r="AF69" s="102"/>
      <c r="AG69" s="105" t="str">
        <f>IF(OR(ISBLANK(Term2_Early_Dismissal_5[[#This Row],[Start]]),ISBLANK(Term2_Early_Dismissal_5[[#This Row],[End]])),"",(Term2_Early_Dismissal_5[[#This Row],[End]]-Term2_Early_Dismissal_5[[#This Row],[Start]])*1440)</f>
        <v/>
      </c>
      <c r="AH69" s="105" t="str">
        <f>IF(ISBLANK(Term2_Early_Dismissal_5[[#This Row],[Activity]]),"",IF(_xlfn.XLOOKUP(Term2_Early_Dismissal_5[[#This Row],[Activity]],Types_of_Activity[Type of Activity],Types_of_Activity[Classification])=1,Term2_Early_Dismissal_5[[#This Row],[Elapsed]],0))</f>
        <v/>
      </c>
      <c r="AI69" s="105" t="str">
        <f>IF(ISBLANK(Term2_Early_Dismissal_5[[#This Row],[Activity]]),"",IF(_xlfn.XLOOKUP(Term2_Early_Dismissal_5[[#This Row],[Activity]],Types_of_Activity[Type of Activity],Types_of_Activity[Classification])=2,Term2_Early_Dismissal_5[[#This Row],[Elapsed]],0))</f>
        <v/>
      </c>
      <c r="AK69" s="135"/>
      <c r="AL69" s="135"/>
      <c r="AM69" s="102"/>
      <c r="AN69" s="105" t="str">
        <f>IF(OR(ISBLANK(Term2_Early_Dismissal_6[[#This Row],[Start]]),ISBLANK(Term2_Early_Dismissal_6[[#This Row],[End]])),"",(Term2_Early_Dismissal_6[[#This Row],[End]]-Term2_Early_Dismissal_6[[#This Row],[Start]])*1440)</f>
        <v/>
      </c>
      <c r="AO69" s="105" t="str">
        <f>IF(ISBLANK(Term2_Early_Dismissal_6[[#This Row],[Activity]]),"",IF(_xlfn.XLOOKUP(Term2_Early_Dismissal_6[[#This Row],[Activity]],Types_of_Activity[Type of Activity],Types_of_Activity[Classification])=1,Term2_Early_Dismissal_6[[#This Row],[Elapsed]],0))</f>
        <v/>
      </c>
      <c r="AP69" s="105" t="str">
        <f>IF(ISBLANK(Term2_Early_Dismissal_6[[#This Row],[Activity]]),"",IF(_xlfn.XLOOKUP(Term2_Early_Dismissal_6[[#This Row],[Activity]],Types_of_Activity[Type of Activity],Types_of_Activity[Classification])=2,Term2_Early_Dismissal_6[[#This Row],[Elapsed]],0))</f>
        <v/>
      </c>
    </row>
    <row r="70" spans="2:42" x14ac:dyDescent="0.3">
      <c r="B70" s="135"/>
      <c r="C70" s="135"/>
      <c r="D70" s="102"/>
      <c r="E70" s="105" t="str">
        <f>IF(OR(ISBLANK(Term2_Early_Dismissal_1[[#This Row],[Start]]),ISBLANK(Term2_Early_Dismissal_1[[#This Row],[End]])),"",(Term2_Early_Dismissal_1[[#This Row],[End]]-Term2_Early_Dismissal_1[[#This Row],[Start]])*1440)</f>
        <v/>
      </c>
      <c r="F70" s="105" t="str">
        <f>IF(ISBLANK(Term2_Early_Dismissal_1[[#This Row],[Activity]]),"",IF(_xlfn.XLOOKUP(Term2_Early_Dismissal_1[[#This Row],[Activity]],Types_of_Activity[Type of Activity],Types_of_Activity[Classification])=1,Term2_Early_Dismissal_1[[#This Row],[Elapsed]],0))</f>
        <v/>
      </c>
      <c r="G70" s="105" t="str">
        <f>IF(ISBLANK(Term2_Early_Dismissal_1[[#This Row],[Activity]]),"",IF(_xlfn.XLOOKUP(Term2_Early_Dismissal_1[[#This Row],[Activity]],Types_of_Activity[Type of Activity],Types_of_Activity[Classification])=2,Term2_Early_Dismissal_1[[#This Row],[Elapsed]],0))</f>
        <v/>
      </c>
      <c r="H70"/>
      <c r="I70" s="135"/>
      <c r="J70" s="135"/>
      <c r="K70" s="102"/>
      <c r="L70" s="105" t="str">
        <f>IF(OR(ISBLANK(Term2_Early_Dismissal_2[[#This Row],[Start]]),ISBLANK(Term2_Early_Dismissal_2[[#This Row],[End]])),"",(Term2_Early_Dismissal_2[[#This Row],[End]]-Term2_Early_Dismissal_2[[#This Row],[Start]])*1440)</f>
        <v/>
      </c>
      <c r="M70" s="105" t="str">
        <f>IF(ISBLANK(Term2_Early_Dismissal_2[[#This Row],[Activity]]),"",IF(_xlfn.XLOOKUP(Term2_Early_Dismissal_2[[#This Row],[Activity]],Types_of_Activity[Type of Activity],Types_of_Activity[Classification])=1,Term2_Early_Dismissal_2[[#This Row],[Elapsed]],0))</f>
        <v/>
      </c>
      <c r="N70" s="105" t="str">
        <f>IF(ISBLANK(Term2_Early_Dismissal_2[[#This Row],[Activity]]),"",IF(_xlfn.XLOOKUP(Term2_Early_Dismissal_2[[#This Row],[Activity]],Types_of_Activity[Type of Activity],Types_of_Activity[Classification])=2,Term2_Early_Dismissal_2[[#This Row],[Elapsed]],0))</f>
        <v/>
      </c>
      <c r="O70"/>
      <c r="P70" s="135"/>
      <c r="Q70" s="135"/>
      <c r="R70" s="102"/>
      <c r="S70" s="105" t="str">
        <f>IF(OR(ISBLANK(Term2_Early_Dismissal_3[[#This Row],[Start]]),ISBLANK(Term2_Early_Dismissal_3[[#This Row],[End]])),"",(Term2_Early_Dismissal_3[[#This Row],[End]]-Term2_Early_Dismissal_3[[#This Row],[Start]])*1440)</f>
        <v/>
      </c>
      <c r="T70" s="105" t="str">
        <f>IF(ISBLANK(Term2_Early_Dismissal_3[[#This Row],[Activity]]),"",IF(_xlfn.XLOOKUP(Term2_Early_Dismissal_3[[#This Row],[Activity]],Types_of_Activity[Type of Activity],Types_of_Activity[Classification])=1,Term2_Early_Dismissal_3[[#This Row],[Elapsed]],0))</f>
        <v/>
      </c>
      <c r="U70" s="105" t="str">
        <f>IF(ISBLANK(Term2_Early_Dismissal_3[[#This Row],[Activity]]),"",IF(_xlfn.XLOOKUP(Term2_Early_Dismissal_3[[#This Row],[Activity]],Types_of_Activity[Type of Activity],Types_of_Activity[Classification])=2,Term2_Early_Dismissal_3[[#This Row],[Elapsed]],0))</f>
        <v/>
      </c>
      <c r="W70" s="135"/>
      <c r="X70" s="135"/>
      <c r="Y70" s="102"/>
      <c r="Z70" s="105" t="str">
        <f>IF(OR(ISBLANK(Term2_Early_Dismissal_4[[#This Row],[Start]]),ISBLANK(Term2_Early_Dismissal_4[[#This Row],[End]])),"",(Term2_Early_Dismissal_4[[#This Row],[End]]-Term2_Early_Dismissal_4[[#This Row],[Start]])*1440)</f>
        <v/>
      </c>
      <c r="AA70" s="105" t="str">
        <f>IF(ISBLANK(Term2_Early_Dismissal_4[[#This Row],[Activity]]),"",IF(_xlfn.XLOOKUP(Term2_Early_Dismissal_4[[#This Row],[Activity]],Types_of_Activity[Type of Activity],Types_of_Activity[Classification])=1,Term2_Early_Dismissal_4[[#This Row],[Elapsed]],0))</f>
        <v/>
      </c>
      <c r="AB70" s="105" t="str">
        <f>IF(ISBLANK(Term2_Early_Dismissal_4[[#This Row],[Activity]]),"",IF(_xlfn.XLOOKUP(Term2_Early_Dismissal_4[[#This Row],[Activity]],Types_of_Activity[Type of Activity],Types_of_Activity[Classification])=2,Term2_Early_Dismissal_4[[#This Row],[Elapsed]],0))</f>
        <v/>
      </c>
      <c r="AD70" s="135"/>
      <c r="AE70" s="135"/>
      <c r="AF70" s="102"/>
      <c r="AG70" s="105" t="str">
        <f>IF(OR(ISBLANK(Term2_Early_Dismissal_5[[#This Row],[Start]]),ISBLANK(Term2_Early_Dismissal_5[[#This Row],[End]])),"",(Term2_Early_Dismissal_5[[#This Row],[End]]-Term2_Early_Dismissal_5[[#This Row],[Start]])*1440)</f>
        <v/>
      </c>
      <c r="AH70" s="105" t="str">
        <f>IF(ISBLANK(Term2_Early_Dismissal_5[[#This Row],[Activity]]),"",IF(_xlfn.XLOOKUP(Term2_Early_Dismissal_5[[#This Row],[Activity]],Types_of_Activity[Type of Activity],Types_of_Activity[Classification])=1,Term2_Early_Dismissal_5[[#This Row],[Elapsed]],0))</f>
        <v/>
      </c>
      <c r="AI70" s="105" t="str">
        <f>IF(ISBLANK(Term2_Early_Dismissal_5[[#This Row],[Activity]]),"",IF(_xlfn.XLOOKUP(Term2_Early_Dismissal_5[[#This Row],[Activity]],Types_of_Activity[Type of Activity],Types_of_Activity[Classification])=2,Term2_Early_Dismissal_5[[#This Row],[Elapsed]],0))</f>
        <v/>
      </c>
      <c r="AK70" s="135"/>
      <c r="AL70" s="135"/>
      <c r="AM70" s="102"/>
      <c r="AN70" s="105" t="str">
        <f>IF(OR(ISBLANK(Term2_Early_Dismissal_6[[#This Row],[Start]]),ISBLANK(Term2_Early_Dismissal_6[[#This Row],[End]])),"",(Term2_Early_Dismissal_6[[#This Row],[End]]-Term2_Early_Dismissal_6[[#This Row],[Start]])*1440)</f>
        <v/>
      </c>
      <c r="AO70" s="105" t="str">
        <f>IF(ISBLANK(Term2_Early_Dismissal_6[[#This Row],[Activity]]),"",IF(_xlfn.XLOOKUP(Term2_Early_Dismissal_6[[#This Row],[Activity]],Types_of_Activity[Type of Activity],Types_of_Activity[Classification])=1,Term2_Early_Dismissal_6[[#This Row],[Elapsed]],0))</f>
        <v/>
      </c>
      <c r="AP70" s="105" t="str">
        <f>IF(ISBLANK(Term2_Early_Dismissal_6[[#This Row],[Activity]]),"",IF(_xlfn.XLOOKUP(Term2_Early_Dismissal_6[[#This Row],[Activity]],Types_of_Activity[Type of Activity],Types_of_Activity[Classification])=2,Term2_Early_Dismissal_6[[#This Row],[Elapsed]],0))</f>
        <v/>
      </c>
    </row>
    <row r="71" spans="2:42" x14ac:dyDescent="0.3">
      <c r="B71" s="135"/>
      <c r="C71" s="135"/>
      <c r="D71" s="102"/>
      <c r="E71" s="105" t="str">
        <f>IF(OR(ISBLANK(Term2_Early_Dismissal_1[[#This Row],[Start]]),ISBLANK(Term2_Early_Dismissal_1[[#This Row],[End]])),"",(Term2_Early_Dismissal_1[[#This Row],[End]]-Term2_Early_Dismissal_1[[#This Row],[Start]])*1440)</f>
        <v/>
      </c>
      <c r="F71" s="105" t="str">
        <f>IF(ISBLANK(Term2_Early_Dismissal_1[[#This Row],[Activity]]),"",IF(_xlfn.XLOOKUP(Term2_Early_Dismissal_1[[#This Row],[Activity]],Types_of_Activity[Type of Activity],Types_of_Activity[Classification])=1,Term2_Early_Dismissal_1[[#This Row],[Elapsed]],0))</f>
        <v/>
      </c>
      <c r="G71" s="105" t="str">
        <f>IF(ISBLANK(Term2_Early_Dismissal_1[[#This Row],[Activity]]),"",IF(_xlfn.XLOOKUP(Term2_Early_Dismissal_1[[#This Row],[Activity]],Types_of_Activity[Type of Activity],Types_of_Activity[Classification])=2,Term2_Early_Dismissal_1[[#This Row],[Elapsed]],0))</f>
        <v/>
      </c>
      <c r="H71"/>
      <c r="I71" s="135"/>
      <c r="J71" s="135"/>
      <c r="K71" s="102"/>
      <c r="L71" s="105" t="str">
        <f>IF(OR(ISBLANK(Term2_Early_Dismissal_2[[#This Row],[Start]]),ISBLANK(Term2_Early_Dismissal_2[[#This Row],[End]])),"",(Term2_Early_Dismissal_2[[#This Row],[End]]-Term2_Early_Dismissal_2[[#This Row],[Start]])*1440)</f>
        <v/>
      </c>
      <c r="M71" s="105" t="str">
        <f>IF(ISBLANK(Term2_Early_Dismissal_2[[#This Row],[Activity]]),"",IF(_xlfn.XLOOKUP(Term2_Early_Dismissal_2[[#This Row],[Activity]],Types_of_Activity[Type of Activity],Types_of_Activity[Classification])=1,Term2_Early_Dismissal_2[[#This Row],[Elapsed]],0))</f>
        <v/>
      </c>
      <c r="N71" s="105" t="str">
        <f>IF(ISBLANK(Term2_Early_Dismissal_2[[#This Row],[Activity]]),"",IF(_xlfn.XLOOKUP(Term2_Early_Dismissal_2[[#This Row],[Activity]],Types_of_Activity[Type of Activity],Types_of_Activity[Classification])=2,Term2_Early_Dismissal_2[[#This Row],[Elapsed]],0))</f>
        <v/>
      </c>
      <c r="O71"/>
      <c r="P71" s="135"/>
      <c r="Q71" s="135"/>
      <c r="R71" s="102"/>
      <c r="S71" s="105" t="str">
        <f>IF(OR(ISBLANK(Term2_Early_Dismissal_3[[#This Row],[Start]]),ISBLANK(Term2_Early_Dismissal_3[[#This Row],[End]])),"",(Term2_Early_Dismissal_3[[#This Row],[End]]-Term2_Early_Dismissal_3[[#This Row],[Start]])*1440)</f>
        <v/>
      </c>
      <c r="T71" s="105" t="str">
        <f>IF(ISBLANK(Term2_Early_Dismissal_3[[#This Row],[Activity]]),"",IF(_xlfn.XLOOKUP(Term2_Early_Dismissal_3[[#This Row],[Activity]],Types_of_Activity[Type of Activity],Types_of_Activity[Classification])=1,Term2_Early_Dismissal_3[[#This Row],[Elapsed]],0))</f>
        <v/>
      </c>
      <c r="U71" s="105" t="str">
        <f>IF(ISBLANK(Term2_Early_Dismissal_3[[#This Row],[Activity]]),"",IF(_xlfn.XLOOKUP(Term2_Early_Dismissal_3[[#This Row],[Activity]],Types_of_Activity[Type of Activity],Types_of_Activity[Classification])=2,Term2_Early_Dismissal_3[[#This Row],[Elapsed]],0))</f>
        <v/>
      </c>
      <c r="W71" s="135"/>
      <c r="X71" s="135"/>
      <c r="Y71" s="102"/>
      <c r="Z71" s="105" t="str">
        <f>IF(OR(ISBLANK(Term2_Early_Dismissal_4[[#This Row],[Start]]),ISBLANK(Term2_Early_Dismissal_4[[#This Row],[End]])),"",(Term2_Early_Dismissal_4[[#This Row],[End]]-Term2_Early_Dismissal_4[[#This Row],[Start]])*1440)</f>
        <v/>
      </c>
      <c r="AA71" s="105" t="str">
        <f>IF(ISBLANK(Term2_Early_Dismissal_4[[#This Row],[Activity]]),"",IF(_xlfn.XLOOKUP(Term2_Early_Dismissal_4[[#This Row],[Activity]],Types_of_Activity[Type of Activity],Types_of_Activity[Classification])=1,Term2_Early_Dismissal_4[[#This Row],[Elapsed]],0))</f>
        <v/>
      </c>
      <c r="AB71" s="105" t="str">
        <f>IF(ISBLANK(Term2_Early_Dismissal_4[[#This Row],[Activity]]),"",IF(_xlfn.XLOOKUP(Term2_Early_Dismissal_4[[#This Row],[Activity]],Types_of_Activity[Type of Activity],Types_of_Activity[Classification])=2,Term2_Early_Dismissal_4[[#This Row],[Elapsed]],0))</f>
        <v/>
      </c>
      <c r="AD71" s="135"/>
      <c r="AE71" s="135"/>
      <c r="AF71" s="102"/>
      <c r="AG71" s="105" t="str">
        <f>IF(OR(ISBLANK(Term2_Early_Dismissal_5[[#This Row],[Start]]),ISBLANK(Term2_Early_Dismissal_5[[#This Row],[End]])),"",(Term2_Early_Dismissal_5[[#This Row],[End]]-Term2_Early_Dismissal_5[[#This Row],[Start]])*1440)</f>
        <v/>
      </c>
      <c r="AH71" s="105" t="str">
        <f>IF(ISBLANK(Term2_Early_Dismissal_5[[#This Row],[Activity]]),"",IF(_xlfn.XLOOKUP(Term2_Early_Dismissal_5[[#This Row],[Activity]],Types_of_Activity[Type of Activity],Types_of_Activity[Classification])=1,Term2_Early_Dismissal_5[[#This Row],[Elapsed]],0))</f>
        <v/>
      </c>
      <c r="AI71" s="105" t="str">
        <f>IF(ISBLANK(Term2_Early_Dismissal_5[[#This Row],[Activity]]),"",IF(_xlfn.XLOOKUP(Term2_Early_Dismissal_5[[#This Row],[Activity]],Types_of_Activity[Type of Activity],Types_of_Activity[Classification])=2,Term2_Early_Dismissal_5[[#This Row],[Elapsed]],0))</f>
        <v/>
      </c>
      <c r="AK71" s="135"/>
      <c r="AL71" s="135"/>
      <c r="AM71" s="102"/>
      <c r="AN71" s="105" t="str">
        <f>IF(OR(ISBLANK(Term2_Early_Dismissal_6[[#This Row],[Start]]),ISBLANK(Term2_Early_Dismissal_6[[#This Row],[End]])),"",(Term2_Early_Dismissal_6[[#This Row],[End]]-Term2_Early_Dismissal_6[[#This Row],[Start]])*1440)</f>
        <v/>
      </c>
      <c r="AO71" s="105" t="str">
        <f>IF(ISBLANK(Term2_Early_Dismissal_6[[#This Row],[Activity]]),"",IF(_xlfn.XLOOKUP(Term2_Early_Dismissal_6[[#This Row],[Activity]],Types_of_Activity[Type of Activity],Types_of_Activity[Classification])=1,Term2_Early_Dismissal_6[[#This Row],[Elapsed]],0))</f>
        <v/>
      </c>
      <c r="AP71" s="105" t="str">
        <f>IF(ISBLANK(Term2_Early_Dismissal_6[[#This Row],[Activity]]),"",IF(_xlfn.XLOOKUP(Term2_Early_Dismissal_6[[#This Row],[Activity]],Types_of_Activity[Type of Activity],Types_of_Activity[Classification])=2,Term2_Early_Dismissal_6[[#This Row],[Elapsed]],0))</f>
        <v/>
      </c>
    </row>
    <row r="72" spans="2:42" x14ac:dyDescent="0.3">
      <c r="B72" s="135"/>
      <c r="C72" s="135"/>
      <c r="D72" s="102"/>
      <c r="E72" s="105" t="str">
        <f>IF(OR(ISBLANK(Term2_Early_Dismissal_1[[#This Row],[Start]]),ISBLANK(Term2_Early_Dismissal_1[[#This Row],[End]])),"",(Term2_Early_Dismissal_1[[#This Row],[End]]-Term2_Early_Dismissal_1[[#This Row],[Start]])*1440)</f>
        <v/>
      </c>
      <c r="F72" s="105" t="str">
        <f>IF(ISBLANK(Term2_Early_Dismissal_1[[#This Row],[Activity]]),"",IF(_xlfn.XLOOKUP(Term2_Early_Dismissal_1[[#This Row],[Activity]],Types_of_Activity[Type of Activity],Types_of_Activity[Classification])=1,Term2_Early_Dismissal_1[[#This Row],[Elapsed]],0))</f>
        <v/>
      </c>
      <c r="G72" s="105" t="str">
        <f>IF(ISBLANK(Term2_Early_Dismissal_1[[#This Row],[Activity]]),"",IF(_xlfn.XLOOKUP(Term2_Early_Dismissal_1[[#This Row],[Activity]],Types_of_Activity[Type of Activity],Types_of_Activity[Classification])=2,Term2_Early_Dismissal_1[[#This Row],[Elapsed]],0))</f>
        <v/>
      </c>
      <c r="H72"/>
      <c r="I72" s="135"/>
      <c r="J72" s="135"/>
      <c r="K72" s="102"/>
      <c r="L72" s="105" t="str">
        <f>IF(OR(ISBLANK(Term2_Early_Dismissal_2[[#This Row],[Start]]),ISBLANK(Term2_Early_Dismissal_2[[#This Row],[End]])),"",(Term2_Early_Dismissal_2[[#This Row],[End]]-Term2_Early_Dismissal_2[[#This Row],[Start]])*1440)</f>
        <v/>
      </c>
      <c r="M72" s="105" t="str">
        <f>IF(ISBLANK(Term2_Early_Dismissal_2[[#This Row],[Activity]]),"",IF(_xlfn.XLOOKUP(Term2_Early_Dismissal_2[[#This Row],[Activity]],Types_of_Activity[Type of Activity],Types_of_Activity[Classification])=1,Term2_Early_Dismissal_2[[#This Row],[Elapsed]],0))</f>
        <v/>
      </c>
      <c r="N72" s="105" t="str">
        <f>IF(ISBLANK(Term2_Early_Dismissal_2[[#This Row],[Activity]]),"",IF(_xlfn.XLOOKUP(Term2_Early_Dismissal_2[[#This Row],[Activity]],Types_of_Activity[Type of Activity],Types_of_Activity[Classification])=2,Term2_Early_Dismissal_2[[#This Row],[Elapsed]],0))</f>
        <v/>
      </c>
      <c r="O72"/>
      <c r="P72" s="135"/>
      <c r="Q72" s="135"/>
      <c r="R72" s="102"/>
      <c r="S72" s="105" t="str">
        <f>IF(OR(ISBLANK(Term2_Early_Dismissal_3[[#This Row],[Start]]),ISBLANK(Term2_Early_Dismissal_3[[#This Row],[End]])),"",(Term2_Early_Dismissal_3[[#This Row],[End]]-Term2_Early_Dismissal_3[[#This Row],[Start]])*1440)</f>
        <v/>
      </c>
      <c r="T72" s="105" t="str">
        <f>IF(ISBLANK(Term2_Early_Dismissal_3[[#This Row],[Activity]]),"",IF(_xlfn.XLOOKUP(Term2_Early_Dismissal_3[[#This Row],[Activity]],Types_of_Activity[Type of Activity],Types_of_Activity[Classification])=1,Term2_Early_Dismissal_3[[#This Row],[Elapsed]],0))</f>
        <v/>
      </c>
      <c r="U72" s="105" t="str">
        <f>IF(ISBLANK(Term2_Early_Dismissal_3[[#This Row],[Activity]]),"",IF(_xlfn.XLOOKUP(Term2_Early_Dismissal_3[[#This Row],[Activity]],Types_of_Activity[Type of Activity],Types_of_Activity[Classification])=2,Term2_Early_Dismissal_3[[#This Row],[Elapsed]],0))</f>
        <v/>
      </c>
      <c r="W72" s="135"/>
      <c r="X72" s="135"/>
      <c r="Y72" s="102"/>
      <c r="Z72" s="105" t="str">
        <f>IF(OR(ISBLANK(Term2_Early_Dismissal_4[[#This Row],[Start]]),ISBLANK(Term2_Early_Dismissal_4[[#This Row],[End]])),"",(Term2_Early_Dismissal_4[[#This Row],[End]]-Term2_Early_Dismissal_4[[#This Row],[Start]])*1440)</f>
        <v/>
      </c>
      <c r="AA72" s="105" t="str">
        <f>IF(ISBLANK(Term2_Early_Dismissal_4[[#This Row],[Activity]]),"",IF(_xlfn.XLOOKUP(Term2_Early_Dismissal_4[[#This Row],[Activity]],Types_of_Activity[Type of Activity],Types_of_Activity[Classification])=1,Term2_Early_Dismissal_4[[#This Row],[Elapsed]],0))</f>
        <v/>
      </c>
      <c r="AB72" s="105" t="str">
        <f>IF(ISBLANK(Term2_Early_Dismissal_4[[#This Row],[Activity]]),"",IF(_xlfn.XLOOKUP(Term2_Early_Dismissal_4[[#This Row],[Activity]],Types_of_Activity[Type of Activity],Types_of_Activity[Classification])=2,Term2_Early_Dismissal_4[[#This Row],[Elapsed]],0))</f>
        <v/>
      </c>
      <c r="AD72" s="135"/>
      <c r="AE72" s="135"/>
      <c r="AF72" s="102"/>
      <c r="AG72" s="105" t="str">
        <f>IF(OR(ISBLANK(Term2_Early_Dismissal_5[[#This Row],[Start]]),ISBLANK(Term2_Early_Dismissal_5[[#This Row],[End]])),"",(Term2_Early_Dismissal_5[[#This Row],[End]]-Term2_Early_Dismissal_5[[#This Row],[Start]])*1440)</f>
        <v/>
      </c>
      <c r="AH72" s="105" t="str">
        <f>IF(ISBLANK(Term2_Early_Dismissal_5[[#This Row],[Activity]]),"",IF(_xlfn.XLOOKUP(Term2_Early_Dismissal_5[[#This Row],[Activity]],Types_of_Activity[Type of Activity],Types_of_Activity[Classification])=1,Term2_Early_Dismissal_5[[#This Row],[Elapsed]],0))</f>
        <v/>
      </c>
      <c r="AI72" s="105" t="str">
        <f>IF(ISBLANK(Term2_Early_Dismissal_5[[#This Row],[Activity]]),"",IF(_xlfn.XLOOKUP(Term2_Early_Dismissal_5[[#This Row],[Activity]],Types_of_Activity[Type of Activity],Types_of_Activity[Classification])=2,Term2_Early_Dismissal_5[[#This Row],[Elapsed]],0))</f>
        <v/>
      </c>
      <c r="AK72" s="135"/>
      <c r="AL72" s="135"/>
      <c r="AM72" s="102"/>
      <c r="AN72" s="105" t="str">
        <f>IF(OR(ISBLANK(Term2_Early_Dismissal_6[[#This Row],[Start]]),ISBLANK(Term2_Early_Dismissal_6[[#This Row],[End]])),"",(Term2_Early_Dismissal_6[[#This Row],[End]]-Term2_Early_Dismissal_6[[#This Row],[Start]])*1440)</f>
        <v/>
      </c>
      <c r="AO72" s="105" t="str">
        <f>IF(ISBLANK(Term2_Early_Dismissal_6[[#This Row],[Activity]]),"",IF(_xlfn.XLOOKUP(Term2_Early_Dismissal_6[[#This Row],[Activity]],Types_of_Activity[Type of Activity],Types_of_Activity[Classification])=1,Term2_Early_Dismissal_6[[#This Row],[Elapsed]],0))</f>
        <v/>
      </c>
      <c r="AP72" s="105" t="str">
        <f>IF(ISBLANK(Term2_Early_Dismissal_6[[#This Row],[Activity]]),"",IF(_xlfn.XLOOKUP(Term2_Early_Dismissal_6[[#This Row],[Activity]],Types_of_Activity[Type of Activity],Types_of_Activity[Classification])=2,Term2_Early_Dismissal_6[[#This Row],[Elapsed]],0))</f>
        <v/>
      </c>
    </row>
    <row r="73" spans="2:42" x14ac:dyDescent="0.3">
      <c r="B73" s="135"/>
      <c r="C73" s="135"/>
      <c r="D73" s="102"/>
      <c r="E73" s="105" t="str">
        <f>IF(OR(ISBLANK(Term2_Early_Dismissal_1[[#This Row],[Start]]),ISBLANK(Term2_Early_Dismissal_1[[#This Row],[End]])),"",(Term2_Early_Dismissal_1[[#This Row],[End]]-Term2_Early_Dismissal_1[[#This Row],[Start]])*1440)</f>
        <v/>
      </c>
      <c r="F73" s="105" t="str">
        <f>IF(ISBLANK(Term2_Early_Dismissal_1[[#This Row],[Activity]]),"",IF(_xlfn.XLOOKUP(Term2_Early_Dismissal_1[[#This Row],[Activity]],Types_of_Activity[Type of Activity],Types_of_Activity[Classification])=1,Term2_Early_Dismissal_1[[#This Row],[Elapsed]],0))</f>
        <v/>
      </c>
      <c r="G73" s="105" t="str">
        <f>IF(ISBLANK(Term2_Early_Dismissal_1[[#This Row],[Activity]]),"",IF(_xlfn.XLOOKUP(Term2_Early_Dismissal_1[[#This Row],[Activity]],Types_of_Activity[Type of Activity],Types_of_Activity[Classification])=2,Term2_Early_Dismissal_1[[#This Row],[Elapsed]],0))</f>
        <v/>
      </c>
      <c r="H73"/>
      <c r="I73" s="135"/>
      <c r="J73" s="135"/>
      <c r="K73" s="102"/>
      <c r="L73" s="105" t="str">
        <f>IF(OR(ISBLANK(Term2_Early_Dismissal_2[[#This Row],[Start]]),ISBLANK(Term2_Early_Dismissal_2[[#This Row],[End]])),"",(Term2_Early_Dismissal_2[[#This Row],[End]]-Term2_Early_Dismissal_2[[#This Row],[Start]])*1440)</f>
        <v/>
      </c>
      <c r="M73" s="105" t="str">
        <f>IF(ISBLANK(Term2_Early_Dismissal_2[[#This Row],[Activity]]),"",IF(_xlfn.XLOOKUP(Term2_Early_Dismissal_2[[#This Row],[Activity]],Types_of_Activity[Type of Activity],Types_of_Activity[Classification])=1,Term2_Early_Dismissal_2[[#This Row],[Elapsed]],0))</f>
        <v/>
      </c>
      <c r="N73" s="105" t="str">
        <f>IF(ISBLANK(Term2_Early_Dismissal_2[[#This Row],[Activity]]),"",IF(_xlfn.XLOOKUP(Term2_Early_Dismissal_2[[#This Row],[Activity]],Types_of_Activity[Type of Activity],Types_of_Activity[Classification])=2,Term2_Early_Dismissal_2[[#This Row],[Elapsed]],0))</f>
        <v/>
      </c>
      <c r="O73"/>
      <c r="P73" s="135"/>
      <c r="Q73" s="135"/>
      <c r="R73" s="102"/>
      <c r="S73" s="105" t="str">
        <f>IF(OR(ISBLANK(Term2_Early_Dismissal_3[[#This Row],[Start]]),ISBLANK(Term2_Early_Dismissal_3[[#This Row],[End]])),"",(Term2_Early_Dismissal_3[[#This Row],[End]]-Term2_Early_Dismissal_3[[#This Row],[Start]])*1440)</f>
        <v/>
      </c>
      <c r="T73" s="105" t="str">
        <f>IF(ISBLANK(Term2_Early_Dismissal_3[[#This Row],[Activity]]),"",IF(_xlfn.XLOOKUP(Term2_Early_Dismissal_3[[#This Row],[Activity]],Types_of_Activity[Type of Activity],Types_of_Activity[Classification])=1,Term2_Early_Dismissal_3[[#This Row],[Elapsed]],0))</f>
        <v/>
      </c>
      <c r="U73" s="105" t="str">
        <f>IF(ISBLANK(Term2_Early_Dismissal_3[[#This Row],[Activity]]),"",IF(_xlfn.XLOOKUP(Term2_Early_Dismissal_3[[#This Row],[Activity]],Types_of_Activity[Type of Activity],Types_of_Activity[Classification])=2,Term2_Early_Dismissal_3[[#This Row],[Elapsed]],0))</f>
        <v/>
      </c>
      <c r="W73" s="135"/>
      <c r="X73" s="135"/>
      <c r="Y73" s="102"/>
      <c r="Z73" s="105" t="str">
        <f>IF(OR(ISBLANK(Term2_Early_Dismissal_4[[#This Row],[Start]]),ISBLANK(Term2_Early_Dismissal_4[[#This Row],[End]])),"",(Term2_Early_Dismissal_4[[#This Row],[End]]-Term2_Early_Dismissal_4[[#This Row],[Start]])*1440)</f>
        <v/>
      </c>
      <c r="AA73" s="105" t="str">
        <f>IF(ISBLANK(Term2_Early_Dismissal_4[[#This Row],[Activity]]),"",IF(_xlfn.XLOOKUP(Term2_Early_Dismissal_4[[#This Row],[Activity]],Types_of_Activity[Type of Activity],Types_of_Activity[Classification])=1,Term2_Early_Dismissal_4[[#This Row],[Elapsed]],0))</f>
        <v/>
      </c>
      <c r="AB73" s="105" t="str">
        <f>IF(ISBLANK(Term2_Early_Dismissal_4[[#This Row],[Activity]]),"",IF(_xlfn.XLOOKUP(Term2_Early_Dismissal_4[[#This Row],[Activity]],Types_of_Activity[Type of Activity],Types_of_Activity[Classification])=2,Term2_Early_Dismissal_4[[#This Row],[Elapsed]],0))</f>
        <v/>
      </c>
      <c r="AD73" s="135"/>
      <c r="AE73" s="135"/>
      <c r="AF73" s="102"/>
      <c r="AG73" s="105" t="str">
        <f>IF(OR(ISBLANK(Term2_Early_Dismissal_5[[#This Row],[Start]]),ISBLANK(Term2_Early_Dismissal_5[[#This Row],[End]])),"",(Term2_Early_Dismissal_5[[#This Row],[End]]-Term2_Early_Dismissal_5[[#This Row],[Start]])*1440)</f>
        <v/>
      </c>
      <c r="AH73" s="105" t="str">
        <f>IF(ISBLANK(Term2_Early_Dismissal_5[[#This Row],[Activity]]),"",IF(_xlfn.XLOOKUP(Term2_Early_Dismissal_5[[#This Row],[Activity]],Types_of_Activity[Type of Activity],Types_of_Activity[Classification])=1,Term2_Early_Dismissal_5[[#This Row],[Elapsed]],0))</f>
        <v/>
      </c>
      <c r="AI73" s="105" t="str">
        <f>IF(ISBLANK(Term2_Early_Dismissal_5[[#This Row],[Activity]]),"",IF(_xlfn.XLOOKUP(Term2_Early_Dismissal_5[[#This Row],[Activity]],Types_of_Activity[Type of Activity],Types_of_Activity[Classification])=2,Term2_Early_Dismissal_5[[#This Row],[Elapsed]],0))</f>
        <v/>
      </c>
      <c r="AK73" s="135"/>
      <c r="AL73" s="135"/>
      <c r="AM73" s="102"/>
      <c r="AN73" s="105" t="str">
        <f>IF(OR(ISBLANK(Term2_Early_Dismissal_6[[#This Row],[Start]]),ISBLANK(Term2_Early_Dismissal_6[[#This Row],[End]])),"",(Term2_Early_Dismissal_6[[#This Row],[End]]-Term2_Early_Dismissal_6[[#This Row],[Start]])*1440)</f>
        <v/>
      </c>
      <c r="AO73" s="105" t="str">
        <f>IF(ISBLANK(Term2_Early_Dismissal_6[[#This Row],[Activity]]),"",IF(_xlfn.XLOOKUP(Term2_Early_Dismissal_6[[#This Row],[Activity]],Types_of_Activity[Type of Activity],Types_of_Activity[Classification])=1,Term2_Early_Dismissal_6[[#This Row],[Elapsed]],0))</f>
        <v/>
      </c>
      <c r="AP73" s="105" t="str">
        <f>IF(ISBLANK(Term2_Early_Dismissal_6[[#This Row],[Activity]]),"",IF(_xlfn.XLOOKUP(Term2_Early_Dismissal_6[[#This Row],[Activity]],Types_of_Activity[Type of Activity],Types_of_Activity[Classification])=2,Term2_Early_Dismissal_6[[#This Row],[Elapsed]],0))</f>
        <v/>
      </c>
    </row>
    <row r="74" spans="2:42" x14ac:dyDescent="0.3">
      <c r="B74" s="135"/>
      <c r="C74" s="135"/>
      <c r="D74" s="102"/>
      <c r="E74" s="105" t="str">
        <f>IF(OR(ISBLANK(Term2_Early_Dismissal_1[[#This Row],[Start]]),ISBLANK(Term2_Early_Dismissal_1[[#This Row],[End]])),"",(Term2_Early_Dismissal_1[[#This Row],[End]]-Term2_Early_Dismissal_1[[#This Row],[Start]])*1440)</f>
        <v/>
      </c>
      <c r="F74" s="105" t="str">
        <f>IF(ISBLANK(Term2_Early_Dismissal_1[[#This Row],[Activity]]),"",IF(_xlfn.XLOOKUP(Term2_Early_Dismissal_1[[#This Row],[Activity]],Types_of_Activity[Type of Activity],Types_of_Activity[Classification])=1,Term2_Early_Dismissal_1[[#This Row],[Elapsed]],0))</f>
        <v/>
      </c>
      <c r="G74" s="105" t="str">
        <f>IF(ISBLANK(Term2_Early_Dismissal_1[[#This Row],[Activity]]),"",IF(_xlfn.XLOOKUP(Term2_Early_Dismissal_1[[#This Row],[Activity]],Types_of_Activity[Type of Activity],Types_of_Activity[Classification])=2,Term2_Early_Dismissal_1[[#This Row],[Elapsed]],0))</f>
        <v/>
      </c>
      <c r="H74"/>
      <c r="I74" s="135"/>
      <c r="J74" s="135"/>
      <c r="K74" s="102"/>
      <c r="L74" s="105" t="str">
        <f>IF(OR(ISBLANK(Term2_Early_Dismissal_2[[#This Row],[Start]]),ISBLANK(Term2_Early_Dismissal_2[[#This Row],[End]])),"",(Term2_Early_Dismissal_2[[#This Row],[End]]-Term2_Early_Dismissal_2[[#This Row],[Start]])*1440)</f>
        <v/>
      </c>
      <c r="M74" s="105" t="str">
        <f>IF(ISBLANK(Term2_Early_Dismissal_2[[#This Row],[Activity]]),"",IF(_xlfn.XLOOKUP(Term2_Early_Dismissal_2[[#This Row],[Activity]],Types_of_Activity[Type of Activity],Types_of_Activity[Classification])=1,Term2_Early_Dismissal_2[[#This Row],[Elapsed]],0))</f>
        <v/>
      </c>
      <c r="N74" s="105" t="str">
        <f>IF(ISBLANK(Term2_Early_Dismissal_2[[#This Row],[Activity]]),"",IF(_xlfn.XLOOKUP(Term2_Early_Dismissal_2[[#This Row],[Activity]],Types_of_Activity[Type of Activity],Types_of_Activity[Classification])=2,Term2_Early_Dismissal_2[[#This Row],[Elapsed]],0))</f>
        <v/>
      </c>
      <c r="O74"/>
      <c r="P74" s="135"/>
      <c r="Q74" s="135"/>
      <c r="R74" s="102"/>
      <c r="S74" s="105" t="str">
        <f>IF(OR(ISBLANK(Term2_Early_Dismissal_3[[#This Row],[Start]]),ISBLANK(Term2_Early_Dismissal_3[[#This Row],[End]])),"",(Term2_Early_Dismissal_3[[#This Row],[End]]-Term2_Early_Dismissal_3[[#This Row],[Start]])*1440)</f>
        <v/>
      </c>
      <c r="T74" s="105" t="str">
        <f>IF(ISBLANK(Term2_Early_Dismissal_3[[#This Row],[Activity]]),"",IF(_xlfn.XLOOKUP(Term2_Early_Dismissal_3[[#This Row],[Activity]],Types_of_Activity[Type of Activity],Types_of_Activity[Classification])=1,Term2_Early_Dismissal_3[[#This Row],[Elapsed]],0))</f>
        <v/>
      </c>
      <c r="U74" s="105" t="str">
        <f>IF(ISBLANK(Term2_Early_Dismissal_3[[#This Row],[Activity]]),"",IF(_xlfn.XLOOKUP(Term2_Early_Dismissal_3[[#This Row],[Activity]],Types_of_Activity[Type of Activity],Types_of_Activity[Classification])=2,Term2_Early_Dismissal_3[[#This Row],[Elapsed]],0))</f>
        <v/>
      </c>
      <c r="W74" s="135"/>
      <c r="X74" s="135"/>
      <c r="Y74" s="102"/>
      <c r="Z74" s="105" t="str">
        <f>IF(OR(ISBLANK(Term2_Early_Dismissal_4[[#This Row],[Start]]),ISBLANK(Term2_Early_Dismissal_4[[#This Row],[End]])),"",(Term2_Early_Dismissal_4[[#This Row],[End]]-Term2_Early_Dismissal_4[[#This Row],[Start]])*1440)</f>
        <v/>
      </c>
      <c r="AA74" s="105" t="str">
        <f>IF(ISBLANK(Term2_Early_Dismissal_4[[#This Row],[Activity]]),"",IF(_xlfn.XLOOKUP(Term2_Early_Dismissal_4[[#This Row],[Activity]],Types_of_Activity[Type of Activity],Types_of_Activity[Classification])=1,Term2_Early_Dismissal_4[[#This Row],[Elapsed]],0))</f>
        <v/>
      </c>
      <c r="AB74" s="105" t="str">
        <f>IF(ISBLANK(Term2_Early_Dismissal_4[[#This Row],[Activity]]),"",IF(_xlfn.XLOOKUP(Term2_Early_Dismissal_4[[#This Row],[Activity]],Types_of_Activity[Type of Activity],Types_of_Activity[Classification])=2,Term2_Early_Dismissal_4[[#This Row],[Elapsed]],0))</f>
        <v/>
      </c>
      <c r="AD74" s="135"/>
      <c r="AE74" s="135"/>
      <c r="AF74" s="102"/>
      <c r="AG74" s="105" t="str">
        <f>IF(OR(ISBLANK(Term2_Early_Dismissal_5[[#This Row],[Start]]),ISBLANK(Term2_Early_Dismissal_5[[#This Row],[End]])),"",(Term2_Early_Dismissal_5[[#This Row],[End]]-Term2_Early_Dismissal_5[[#This Row],[Start]])*1440)</f>
        <v/>
      </c>
      <c r="AH74" s="105" t="str">
        <f>IF(ISBLANK(Term2_Early_Dismissal_5[[#This Row],[Activity]]),"",IF(_xlfn.XLOOKUP(Term2_Early_Dismissal_5[[#This Row],[Activity]],Types_of_Activity[Type of Activity],Types_of_Activity[Classification])=1,Term2_Early_Dismissal_5[[#This Row],[Elapsed]],0))</f>
        <v/>
      </c>
      <c r="AI74" s="105" t="str">
        <f>IF(ISBLANK(Term2_Early_Dismissal_5[[#This Row],[Activity]]),"",IF(_xlfn.XLOOKUP(Term2_Early_Dismissal_5[[#This Row],[Activity]],Types_of_Activity[Type of Activity],Types_of_Activity[Classification])=2,Term2_Early_Dismissal_5[[#This Row],[Elapsed]],0))</f>
        <v/>
      </c>
      <c r="AK74" s="135"/>
      <c r="AL74" s="135"/>
      <c r="AM74" s="102"/>
      <c r="AN74" s="105" t="str">
        <f>IF(OR(ISBLANK(Term2_Early_Dismissal_6[[#This Row],[Start]]),ISBLANK(Term2_Early_Dismissal_6[[#This Row],[End]])),"",(Term2_Early_Dismissal_6[[#This Row],[End]]-Term2_Early_Dismissal_6[[#This Row],[Start]])*1440)</f>
        <v/>
      </c>
      <c r="AO74" s="105" t="str">
        <f>IF(ISBLANK(Term2_Early_Dismissal_6[[#This Row],[Activity]]),"",IF(_xlfn.XLOOKUP(Term2_Early_Dismissal_6[[#This Row],[Activity]],Types_of_Activity[Type of Activity],Types_of_Activity[Classification])=1,Term2_Early_Dismissal_6[[#This Row],[Elapsed]],0))</f>
        <v/>
      </c>
      <c r="AP74" s="105" t="str">
        <f>IF(ISBLANK(Term2_Early_Dismissal_6[[#This Row],[Activity]]),"",IF(_xlfn.XLOOKUP(Term2_Early_Dismissal_6[[#This Row],[Activity]],Types_of_Activity[Type of Activity],Types_of_Activity[Classification])=2,Term2_Early_Dismissal_6[[#This Row],[Elapsed]],0))</f>
        <v/>
      </c>
    </row>
    <row r="75" spans="2:42" x14ac:dyDescent="0.3">
      <c r="B75" s="135"/>
      <c r="C75" s="135"/>
      <c r="D75" s="102"/>
      <c r="E75" s="105" t="str">
        <f>IF(OR(ISBLANK(Term2_Early_Dismissal_1[[#This Row],[Start]]),ISBLANK(Term2_Early_Dismissal_1[[#This Row],[End]])),"",(Term2_Early_Dismissal_1[[#This Row],[End]]-Term2_Early_Dismissal_1[[#This Row],[Start]])*1440)</f>
        <v/>
      </c>
      <c r="F75" s="105" t="str">
        <f>IF(ISBLANK(Term2_Early_Dismissal_1[[#This Row],[Activity]]),"",IF(_xlfn.XLOOKUP(Term2_Early_Dismissal_1[[#This Row],[Activity]],Types_of_Activity[Type of Activity],Types_of_Activity[Classification])=1,Term2_Early_Dismissal_1[[#This Row],[Elapsed]],0))</f>
        <v/>
      </c>
      <c r="G75" s="105" t="str">
        <f>IF(ISBLANK(Term2_Early_Dismissal_1[[#This Row],[Activity]]),"",IF(_xlfn.XLOOKUP(Term2_Early_Dismissal_1[[#This Row],[Activity]],Types_of_Activity[Type of Activity],Types_of_Activity[Classification])=2,Term2_Early_Dismissal_1[[#This Row],[Elapsed]],0))</f>
        <v/>
      </c>
      <c r="H75"/>
      <c r="I75" s="135"/>
      <c r="J75" s="135"/>
      <c r="K75" s="102"/>
      <c r="L75" s="105" t="str">
        <f>IF(OR(ISBLANK(Term2_Early_Dismissal_2[[#This Row],[Start]]),ISBLANK(Term2_Early_Dismissal_2[[#This Row],[End]])),"",(Term2_Early_Dismissal_2[[#This Row],[End]]-Term2_Early_Dismissal_2[[#This Row],[Start]])*1440)</f>
        <v/>
      </c>
      <c r="M75" s="105" t="str">
        <f>IF(ISBLANK(Term2_Early_Dismissal_2[[#This Row],[Activity]]),"",IF(_xlfn.XLOOKUP(Term2_Early_Dismissal_2[[#This Row],[Activity]],Types_of_Activity[Type of Activity],Types_of_Activity[Classification])=1,Term2_Early_Dismissal_2[[#This Row],[Elapsed]],0))</f>
        <v/>
      </c>
      <c r="N75" s="105" t="str">
        <f>IF(ISBLANK(Term2_Early_Dismissal_2[[#This Row],[Activity]]),"",IF(_xlfn.XLOOKUP(Term2_Early_Dismissal_2[[#This Row],[Activity]],Types_of_Activity[Type of Activity],Types_of_Activity[Classification])=2,Term2_Early_Dismissal_2[[#This Row],[Elapsed]],0))</f>
        <v/>
      </c>
      <c r="O75"/>
      <c r="P75" s="135"/>
      <c r="Q75" s="135"/>
      <c r="R75" s="102"/>
      <c r="S75" s="105" t="str">
        <f>IF(OR(ISBLANK(Term2_Early_Dismissal_3[[#This Row],[Start]]),ISBLANK(Term2_Early_Dismissal_3[[#This Row],[End]])),"",(Term2_Early_Dismissal_3[[#This Row],[End]]-Term2_Early_Dismissal_3[[#This Row],[Start]])*1440)</f>
        <v/>
      </c>
      <c r="T75" s="105" t="str">
        <f>IF(ISBLANK(Term2_Early_Dismissal_3[[#This Row],[Activity]]),"",IF(_xlfn.XLOOKUP(Term2_Early_Dismissal_3[[#This Row],[Activity]],Types_of_Activity[Type of Activity],Types_of_Activity[Classification])=1,Term2_Early_Dismissal_3[[#This Row],[Elapsed]],0))</f>
        <v/>
      </c>
      <c r="U75" s="105" t="str">
        <f>IF(ISBLANK(Term2_Early_Dismissal_3[[#This Row],[Activity]]),"",IF(_xlfn.XLOOKUP(Term2_Early_Dismissal_3[[#This Row],[Activity]],Types_of_Activity[Type of Activity],Types_of_Activity[Classification])=2,Term2_Early_Dismissal_3[[#This Row],[Elapsed]],0))</f>
        <v/>
      </c>
      <c r="W75" s="135"/>
      <c r="X75" s="135"/>
      <c r="Y75" s="102"/>
      <c r="Z75" s="105" t="str">
        <f>IF(OR(ISBLANK(Term2_Early_Dismissal_4[[#This Row],[Start]]),ISBLANK(Term2_Early_Dismissal_4[[#This Row],[End]])),"",(Term2_Early_Dismissal_4[[#This Row],[End]]-Term2_Early_Dismissal_4[[#This Row],[Start]])*1440)</f>
        <v/>
      </c>
      <c r="AA75" s="105" t="str">
        <f>IF(ISBLANK(Term2_Early_Dismissal_4[[#This Row],[Activity]]),"",IF(_xlfn.XLOOKUP(Term2_Early_Dismissal_4[[#This Row],[Activity]],Types_of_Activity[Type of Activity],Types_of_Activity[Classification])=1,Term2_Early_Dismissal_4[[#This Row],[Elapsed]],0))</f>
        <v/>
      </c>
      <c r="AB75" s="105" t="str">
        <f>IF(ISBLANK(Term2_Early_Dismissal_4[[#This Row],[Activity]]),"",IF(_xlfn.XLOOKUP(Term2_Early_Dismissal_4[[#This Row],[Activity]],Types_of_Activity[Type of Activity],Types_of_Activity[Classification])=2,Term2_Early_Dismissal_4[[#This Row],[Elapsed]],0))</f>
        <v/>
      </c>
      <c r="AD75" s="135"/>
      <c r="AE75" s="135"/>
      <c r="AF75" s="102"/>
      <c r="AG75" s="105" t="str">
        <f>IF(OR(ISBLANK(Term2_Early_Dismissal_5[[#This Row],[Start]]),ISBLANK(Term2_Early_Dismissal_5[[#This Row],[End]])),"",(Term2_Early_Dismissal_5[[#This Row],[End]]-Term2_Early_Dismissal_5[[#This Row],[Start]])*1440)</f>
        <v/>
      </c>
      <c r="AH75" s="105" t="str">
        <f>IF(ISBLANK(Term2_Early_Dismissal_5[[#This Row],[Activity]]),"",IF(_xlfn.XLOOKUP(Term2_Early_Dismissal_5[[#This Row],[Activity]],Types_of_Activity[Type of Activity],Types_of_Activity[Classification])=1,Term2_Early_Dismissal_5[[#This Row],[Elapsed]],0))</f>
        <v/>
      </c>
      <c r="AI75" s="105" t="str">
        <f>IF(ISBLANK(Term2_Early_Dismissal_5[[#This Row],[Activity]]),"",IF(_xlfn.XLOOKUP(Term2_Early_Dismissal_5[[#This Row],[Activity]],Types_of_Activity[Type of Activity],Types_of_Activity[Classification])=2,Term2_Early_Dismissal_5[[#This Row],[Elapsed]],0))</f>
        <v/>
      </c>
      <c r="AK75" s="135"/>
      <c r="AL75" s="135"/>
      <c r="AM75" s="102"/>
      <c r="AN75" s="105" t="str">
        <f>IF(OR(ISBLANK(Term2_Early_Dismissal_6[[#This Row],[Start]]),ISBLANK(Term2_Early_Dismissal_6[[#This Row],[End]])),"",(Term2_Early_Dismissal_6[[#This Row],[End]]-Term2_Early_Dismissal_6[[#This Row],[Start]])*1440)</f>
        <v/>
      </c>
      <c r="AO75" s="105" t="str">
        <f>IF(ISBLANK(Term2_Early_Dismissal_6[[#This Row],[Activity]]),"",IF(_xlfn.XLOOKUP(Term2_Early_Dismissal_6[[#This Row],[Activity]],Types_of_Activity[Type of Activity],Types_of_Activity[Classification])=1,Term2_Early_Dismissal_6[[#This Row],[Elapsed]],0))</f>
        <v/>
      </c>
      <c r="AP75" s="105" t="str">
        <f>IF(ISBLANK(Term2_Early_Dismissal_6[[#This Row],[Activity]]),"",IF(_xlfn.XLOOKUP(Term2_Early_Dismissal_6[[#This Row],[Activity]],Types_of_Activity[Type of Activity],Types_of_Activity[Classification])=2,Term2_Early_Dismissal_6[[#This Row],[Elapsed]],0))</f>
        <v/>
      </c>
    </row>
    <row r="76" spans="2:42" x14ac:dyDescent="0.3">
      <c r="B76" s="135"/>
      <c r="C76" s="135"/>
      <c r="D76" s="102"/>
      <c r="E76" s="105" t="str">
        <f>IF(OR(ISBLANK(Term2_Early_Dismissal_1[[#This Row],[Start]]),ISBLANK(Term2_Early_Dismissal_1[[#This Row],[End]])),"",(Term2_Early_Dismissal_1[[#This Row],[End]]-Term2_Early_Dismissal_1[[#This Row],[Start]])*1440)</f>
        <v/>
      </c>
      <c r="F76" s="105" t="str">
        <f>IF(ISBLANK(Term2_Early_Dismissal_1[[#This Row],[Activity]]),"",IF(_xlfn.XLOOKUP(Term2_Early_Dismissal_1[[#This Row],[Activity]],Types_of_Activity[Type of Activity],Types_of_Activity[Classification])=1,Term2_Early_Dismissal_1[[#This Row],[Elapsed]],0))</f>
        <v/>
      </c>
      <c r="G76" s="105" t="str">
        <f>IF(ISBLANK(Term2_Early_Dismissal_1[[#This Row],[Activity]]),"",IF(_xlfn.XLOOKUP(Term2_Early_Dismissal_1[[#This Row],[Activity]],Types_of_Activity[Type of Activity],Types_of_Activity[Classification])=2,Term2_Early_Dismissal_1[[#This Row],[Elapsed]],0))</f>
        <v/>
      </c>
      <c r="H76"/>
      <c r="I76" s="135"/>
      <c r="J76" s="135"/>
      <c r="K76" s="102"/>
      <c r="L76" s="105" t="str">
        <f>IF(OR(ISBLANK(Term2_Early_Dismissal_2[[#This Row],[Start]]),ISBLANK(Term2_Early_Dismissal_2[[#This Row],[End]])),"",(Term2_Early_Dismissal_2[[#This Row],[End]]-Term2_Early_Dismissal_2[[#This Row],[Start]])*1440)</f>
        <v/>
      </c>
      <c r="M76" s="105" t="str">
        <f>IF(ISBLANK(Term2_Early_Dismissal_2[[#This Row],[Activity]]),"",IF(_xlfn.XLOOKUP(Term2_Early_Dismissal_2[[#This Row],[Activity]],Types_of_Activity[Type of Activity],Types_of_Activity[Classification])=1,Term2_Early_Dismissal_2[[#This Row],[Elapsed]],0))</f>
        <v/>
      </c>
      <c r="N76" s="105" t="str">
        <f>IF(ISBLANK(Term2_Early_Dismissal_2[[#This Row],[Activity]]),"",IF(_xlfn.XLOOKUP(Term2_Early_Dismissal_2[[#This Row],[Activity]],Types_of_Activity[Type of Activity],Types_of_Activity[Classification])=2,Term2_Early_Dismissal_2[[#This Row],[Elapsed]],0))</f>
        <v/>
      </c>
      <c r="O76"/>
      <c r="P76" s="135"/>
      <c r="Q76" s="135"/>
      <c r="R76" s="102"/>
      <c r="S76" s="105" t="str">
        <f>IF(OR(ISBLANK(Term2_Early_Dismissal_3[[#This Row],[Start]]),ISBLANK(Term2_Early_Dismissal_3[[#This Row],[End]])),"",(Term2_Early_Dismissal_3[[#This Row],[End]]-Term2_Early_Dismissal_3[[#This Row],[Start]])*1440)</f>
        <v/>
      </c>
      <c r="T76" s="105" t="str">
        <f>IF(ISBLANK(Term2_Early_Dismissal_3[[#This Row],[Activity]]),"",IF(_xlfn.XLOOKUP(Term2_Early_Dismissal_3[[#This Row],[Activity]],Types_of_Activity[Type of Activity],Types_of_Activity[Classification])=1,Term2_Early_Dismissal_3[[#This Row],[Elapsed]],0))</f>
        <v/>
      </c>
      <c r="U76" s="105" t="str">
        <f>IF(ISBLANK(Term2_Early_Dismissal_3[[#This Row],[Activity]]),"",IF(_xlfn.XLOOKUP(Term2_Early_Dismissal_3[[#This Row],[Activity]],Types_of_Activity[Type of Activity],Types_of_Activity[Classification])=2,Term2_Early_Dismissal_3[[#This Row],[Elapsed]],0))</f>
        <v/>
      </c>
      <c r="W76" s="135"/>
      <c r="X76" s="135"/>
      <c r="Y76" s="102"/>
      <c r="Z76" s="105" t="str">
        <f>IF(OR(ISBLANK(Term2_Early_Dismissal_4[[#This Row],[Start]]),ISBLANK(Term2_Early_Dismissal_4[[#This Row],[End]])),"",(Term2_Early_Dismissal_4[[#This Row],[End]]-Term2_Early_Dismissal_4[[#This Row],[Start]])*1440)</f>
        <v/>
      </c>
      <c r="AA76" s="105" t="str">
        <f>IF(ISBLANK(Term2_Early_Dismissal_4[[#This Row],[Activity]]),"",IF(_xlfn.XLOOKUP(Term2_Early_Dismissal_4[[#This Row],[Activity]],Types_of_Activity[Type of Activity],Types_of_Activity[Classification])=1,Term2_Early_Dismissal_4[[#This Row],[Elapsed]],0))</f>
        <v/>
      </c>
      <c r="AB76" s="105" t="str">
        <f>IF(ISBLANK(Term2_Early_Dismissal_4[[#This Row],[Activity]]),"",IF(_xlfn.XLOOKUP(Term2_Early_Dismissal_4[[#This Row],[Activity]],Types_of_Activity[Type of Activity],Types_of_Activity[Classification])=2,Term2_Early_Dismissal_4[[#This Row],[Elapsed]],0))</f>
        <v/>
      </c>
      <c r="AD76" s="135"/>
      <c r="AE76" s="135"/>
      <c r="AF76" s="102"/>
      <c r="AG76" s="105" t="str">
        <f>IF(OR(ISBLANK(Term2_Early_Dismissal_5[[#This Row],[Start]]),ISBLANK(Term2_Early_Dismissal_5[[#This Row],[End]])),"",(Term2_Early_Dismissal_5[[#This Row],[End]]-Term2_Early_Dismissal_5[[#This Row],[Start]])*1440)</f>
        <v/>
      </c>
      <c r="AH76" s="105" t="str">
        <f>IF(ISBLANK(Term2_Early_Dismissal_5[[#This Row],[Activity]]),"",IF(_xlfn.XLOOKUP(Term2_Early_Dismissal_5[[#This Row],[Activity]],Types_of_Activity[Type of Activity],Types_of_Activity[Classification])=1,Term2_Early_Dismissal_5[[#This Row],[Elapsed]],0))</f>
        <v/>
      </c>
      <c r="AI76" s="105" t="str">
        <f>IF(ISBLANK(Term2_Early_Dismissal_5[[#This Row],[Activity]]),"",IF(_xlfn.XLOOKUP(Term2_Early_Dismissal_5[[#This Row],[Activity]],Types_of_Activity[Type of Activity],Types_of_Activity[Classification])=2,Term2_Early_Dismissal_5[[#This Row],[Elapsed]],0))</f>
        <v/>
      </c>
      <c r="AK76" s="135"/>
      <c r="AL76" s="135"/>
      <c r="AM76" s="102"/>
      <c r="AN76" s="105" t="str">
        <f>IF(OR(ISBLANK(Term2_Early_Dismissal_6[[#This Row],[Start]]),ISBLANK(Term2_Early_Dismissal_6[[#This Row],[End]])),"",(Term2_Early_Dismissal_6[[#This Row],[End]]-Term2_Early_Dismissal_6[[#This Row],[Start]])*1440)</f>
        <v/>
      </c>
      <c r="AO76" s="105" t="str">
        <f>IF(ISBLANK(Term2_Early_Dismissal_6[[#This Row],[Activity]]),"",IF(_xlfn.XLOOKUP(Term2_Early_Dismissal_6[[#This Row],[Activity]],Types_of_Activity[Type of Activity],Types_of_Activity[Classification])=1,Term2_Early_Dismissal_6[[#This Row],[Elapsed]],0))</f>
        <v/>
      </c>
      <c r="AP76" s="105" t="str">
        <f>IF(ISBLANK(Term2_Early_Dismissal_6[[#This Row],[Activity]]),"",IF(_xlfn.XLOOKUP(Term2_Early_Dismissal_6[[#This Row],[Activity]],Types_of_Activity[Type of Activity],Types_of_Activity[Classification])=2,Term2_Early_Dismissal_6[[#This Row],[Elapsed]],0))</f>
        <v/>
      </c>
    </row>
    <row r="77" spans="2:42" x14ac:dyDescent="0.3">
      <c r="B77" s="135"/>
      <c r="C77" s="135"/>
      <c r="D77" s="102"/>
      <c r="E77" s="105" t="str">
        <f>IF(OR(ISBLANK(Term2_Early_Dismissal_1[[#This Row],[Start]]),ISBLANK(Term2_Early_Dismissal_1[[#This Row],[End]])),"",(Term2_Early_Dismissal_1[[#This Row],[End]]-Term2_Early_Dismissal_1[[#This Row],[Start]])*1440)</f>
        <v/>
      </c>
      <c r="F77" s="105" t="str">
        <f>IF(ISBLANK(Term2_Early_Dismissal_1[[#This Row],[Activity]]),"",IF(_xlfn.XLOOKUP(Term2_Early_Dismissal_1[[#This Row],[Activity]],Types_of_Activity[Type of Activity],Types_of_Activity[Classification])=1,Term2_Early_Dismissal_1[[#This Row],[Elapsed]],0))</f>
        <v/>
      </c>
      <c r="G77" s="105" t="str">
        <f>IF(ISBLANK(Term2_Early_Dismissal_1[[#This Row],[Activity]]),"",IF(_xlfn.XLOOKUP(Term2_Early_Dismissal_1[[#This Row],[Activity]],Types_of_Activity[Type of Activity],Types_of_Activity[Classification])=2,Term2_Early_Dismissal_1[[#This Row],[Elapsed]],0))</f>
        <v/>
      </c>
      <c r="H77"/>
      <c r="I77" s="135"/>
      <c r="J77" s="135"/>
      <c r="K77" s="102"/>
      <c r="L77" s="105" t="str">
        <f>IF(OR(ISBLANK(Term2_Early_Dismissal_2[[#This Row],[Start]]),ISBLANK(Term2_Early_Dismissal_2[[#This Row],[End]])),"",(Term2_Early_Dismissal_2[[#This Row],[End]]-Term2_Early_Dismissal_2[[#This Row],[Start]])*1440)</f>
        <v/>
      </c>
      <c r="M77" s="105" t="str">
        <f>IF(ISBLANK(Term2_Early_Dismissal_2[[#This Row],[Activity]]),"",IF(_xlfn.XLOOKUP(Term2_Early_Dismissal_2[[#This Row],[Activity]],Types_of_Activity[Type of Activity],Types_of_Activity[Classification])=1,Term2_Early_Dismissal_2[[#This Row],[Elapsed]],0))</f>
        <v/>
      </c>
      <c r="N77" s="105" t="str">
        <f>IF(ISBLANK(Term2_Early_Dismissal_2[[#This Row],[Activity]]),"",IF(_xlfn.XLOOKUP(Term2_Early_Dismissal_2[[#This Row],[Activity]],Types_of_Activity[Type of Activity],Types_of_Activity[Classification])=2,Term2_Early_Dismissal_2[[#This Row],[Elapsed]],0))</f>
        <v/>
      </c>
      <c r="O77"/>
      <c r="P77" s="135"/>
      <c r="Q77" s="135"/>
      <c r="R77" s="102"/>
      <c r="S77" s="105" t="str">
        <f>IF(OR(ISBLANK(Term2_Early_Dismissal_3[[#This Row],[Start]]),ISBLANK(Term2_Early_Dismissal_3[[#This Row],[End]])),"",(Term2_Early_Dismissal_3[[#This Row],[End]]-Term2_Early_Dismissal_3[[#This Row],[Start]])*1440)</f>
        <v/>
      </c>
      <c r="T77" s="105" t="str">
        <f>IF(ISBLANK(Term2_Early_Dismissal_3[[#This Row],[Activity]]),"",IF(_xlfn.XLOOKUP(Term2_Early_Dismissal_3[[#This Row],[Activity]],Types_of_Activity[Type of Activity],Types_of_Activity[Classification])=1,Term2_Early_Dismissal_3[[#This Row],[Elapsed]],0))</f>
        <v/>
      </c>
      <c r="U77" s="105" t="str">
        <f>IF(ISBLANK(Term2_Early_Dismissal_3[[#This Row],[Activity]]),"",IF(_xlfn.XLOOKUP(Term2_Early_Dismissal_3[[#This Row],[Activity]],Types_of_Activity[Type of Activity],Types_of_Activity[Classification])=2,Term2_Early_Dismissal_3[[#This Row],[Elapsed]],0))</f>
        <v/>
      </c>
      <c r="W77" s="135"/>
      <c r="X77" s="135"/>
      <c r="Y77" s="102"/>
      <c r="Z77" s="105" t="str">
        <f>IF(OR(ISBLANK(Term2_Early_Dismissal_4[[#This Row],[Start]]),ISBLANK(Term2_Early_Dismissal_4[[#This Row],[End]])),"",(Term2_Early_Dismissal_4[[#This Row],[End]]-Term2_Early_Dismissal_4[[#This Row],[Start]])*1440)</f>
        <v/>
      </c>
      <c r="AA77" s="105" t="str">
        <f>IF(ISBLANK(Term2_Early_Dismissal_4[[#This Row],[Activity]]),"",IF(_xlfn.XLOOKUP(Term2_Early_Dismissal_4[[#This Row],[Activity]],Types_of_Activity[Type of Activity],Types_of_Activity[Classification])=1,Term2_Early_Dismissal_4[[#This Row],[Elapsed]],0))</f>
        <v/>
      </c>
      <c r="AB77" s="105" t="str">
        <f>IF(ISBLANK(Term2_Early_Dismissal_4[[#This Row],[Activity]]),"",IF(_xlfn.XLOOKUP(Term2_Early_Dismissal_4[[#This Row],[Activity]],Types_of_Activity[Type of Activity],Types_of_Activity[Classification])=2,Term2_Early_Dismissal_4[[#This Row],[Elapsed]],0))</f>
        <v/>
      </c>
      <c r="AD77" s="135"/>
      <c r="AE77" s="135"/>
      <c r="AF77" s="102"/>
      <c r="AG77" s="105" t="str">
        <f>IF(OR(ISBLANK(Term2_Early_Dismissal_5[[#This Row],[Start]]),ISBLANK(Term2_Early_Dismissal_5[[#This Row],[End]])),"",(Term2_Early_Dismissal_5[[#This Row],[End]]-Term2_Early_Dismissal_5[[#This Row],[Start]])*1440)</f>
        <v/>
      </c>
      <c r="AH77" s="105" t="str">
        <f>IF(ISBLANK(Term2_Early_Dismissal_5[[#This Row],[Activity]]),"",IF(_xlfn.XLOOKUP(Term2_Early_Dismissal_5[[#This Row],[Activity]],Types_of_Activity[Type of Activity],Types_of_Activity[Classification])=1,Term2_Early_Dismissal_5[[#This Row],[Elapsed]],0))</f>
        <v/>
      </c>
      <c r="AI77" s="105" t="str">
        <f>IF(ISBLANK(Term2_Early_Dismissal_5[[#This Row],[Activity]]),"",IF(_xlfn.XLOOKUP(Term2_Early_Dismissal_5[[#This Row],[Activity]],Types_of_Activity[Type of Activity],Types_of_Activity[Classification])=2,Term2_Early_Dismissal_5[[#This Row],[Elapsed]],0))</f>
        <v/>
      </c>
      <c r="AK77" s="135"/>
      <c r="AL77" s="135"/>
      <c r="AM77" s="102"/>
      <c r="AN77" s="105" t="str">
        <f>IF(OR(ISBLANK(Term2_Early_Dismissal_6[[#This Row],[Start]]),ISBLANK(Term2_Early_Dismissal_6[[#This Row],[End]])),"",(Term2_Early_Dismissal_6[[#This Row],[End]]-Term2_Early_Dismissal_6[[#This Row],[Start]])*1440)</f>
        <v/>
      </c>
      <c r="AO77" s="105" t="str">
        <f>IF(ISBLANK(Term2_Early_Dismissal_6[[#This Row],[Activity]]),"",IF(_xlfn.XLOOKUP(Term2_Early_Dismissal_6[[#This Row],[Activity]],Types_of_Activity[Type of Activity],Types_of_Activity[Classification])=1,Term2_Early_Dismissal_6[[#This Row],[Elapsed]],0))</f>
        <v/>
      </c>
      <c r="AP77" s="105" t="str">
        <f>IF(ISBLANK(Term2_Early_Dismissal_6[[#This Row],[Activity]]),"",IF(_xlfn.XLOOKUP(Term2_Early_Dismissal_6[[#This Row],[Activity]],Types_of_Activity[Type of Activity],Types_of_Activity[Classification])=2,Term2_Early_Dismissal_6[[#This Row],[Elapsed]],0))</f>
        <v/>
      </c>
    </row>
    <row r="78" spans="2:42" x14ac:dyDescent="0.3">
      <c r="B78" s="135"/>
      <c r="C78" s="135"/>
      <c r="D78" s="102"/>
      <c r="E78" s="105" t="str">
        <f>IF(OR(ISBLANK(Term2_Early_Dismissal_1[[#This Row],[Start]]),ISBLANK(Term2_Early_Dismissal_1[[#This Row],[End]])),"",(Term2_Early_Dismissal_1[[#This Row],[End]]-Term2_Early_Dismissal_1[[#This Row],[Start]])*1440)</f>
        <v/>
      </c>
      <c r="F78" s="105" t="str">
        <f>IF(ISBLANK(Term2_Early_Dismissal_1[[#This Row],[Activity]]),"",IF(_xlfn.XLOOKUP(Term2_Early_Dismissal_1[[#This Row],[Activity]],Types_of_Activity[Type of Activity],Types_of_Activity[Classification])=1,Term2_Early_Dismissal_1[[#This Row],[Elapsed]],0))</f>
        <v/>
      </c>
      <c r="G78" s="105" t="str">
        <f>IF(ISBLANK(Term2_Early_Dismissal_1[[#This Row],[Activity]]),"",IF(_xlfn.XLOOKUP(Term2_Early_Dismissal_1[[#This Row],[Activity]],Types_of_Activity[Type of Activity],Types_of_Activity[Classification])=2,Term2_Early_Dismissal_1[[#This Row],[Elapsed]],0))</f>
        <v/>
      </c>
      <c r="H78"/>
      <c r="I78" s="135"/>
      <c r="J78" s="135"/>
      <c r="K78" s="102"/>
      <c r="L78" s="105" t="str">
        <f>IF(OR(ISBLANK(Term2_Early_Dismissal_2[[#This Row],[Start]]),ISBLANK(Term2_Early_Dismissal_2[[#This Row],[End]])),"",(Term2_Early_Dismissal_2[[#This Row],[End]]-Term2_Early_Dismissal_2[[#This Row],[Start]])*1440)</f>
        <v/>
      </c>
      <c r="M78" s="105" t="str">
        <f>IF(ISBLANK(Term2_Early_Dismissal_2[[#This Row],[Activity]]),"",IF(_xlfn.XLOOKUP(Term2_Early_Dismissal_2[[#This Row],[Activity]],Types_of_Activity[Type of Activity],Types_of_Activity[Classification])=1,Term2_Early_Dismissal_2[[#This Row],[Elapsed]],0))</f>
        <v/>
      </c>
      <c r="N78" s="105" t="str">
        <f>IF(ISBLANK(Term2_Early_Dismissal_2[[#This Row],[Activity]]),"",IF(_xlfn.XLOOKUP(Term2_Early_Dismissal_2[[#This Row],[Activity]],Types_of_Activity[Type of Activity],Types_of_Activity[Classification])=2,Term2_Early_Dismissal_2[[#This Row],[Elapsed]],0))</f>
        <v/>
      </c>
      <c r="O78"/>
      <c r="P78" s="135"/>
      <c r="Q78" s="135"/>
      <c r="R78" s="102"/>
      <c r="S78" s="105" t="str">
        <f>IF(OR(ISBLANK(Term2_Early_Dismissal_3[[#This Row],[Start]]),ISBLANK(Term2_Early_Dismissal_3[[#This Row],[End]])),"",(Term2_Early_Dismissal_3[[#This Row],[End]]-Term2_Early_Dismissal_3[[#This Row],[Start]])*1440)</f>
        <v/>
      </c>
      <c r="T78" s="105" t="str">
        <f>IF(ISBLANK(Term2_Early_Dismissal_3[[#This Row],[Activity]]),"",IF(_xlfn.XLOOKUP(Term2_Early_Dismissal_3[[#This Row],[Activity]],Types_of_Activity[Type of Activity],Types_of_Activity[Classification])=1,Term2_Early_Dismissal_3[[#This Row],[Elapsed]],0))</f>
        <v/>
      </c>
      <c r="U78" s="105" t="str">
        <f>IF(ISBLANK(Term2_Early_Dismissal_3[[#This Row],[Activity]]),"",IF(_xlfn.XLOOKUP(Term2_Early_Dismissal_3[[#This Row],[Activity]],Types_of_Activity[Type of Activity],Types_of_Activity[Classification])=2,Term2_Early_Dismissal_3[[#This Row],[Elapsed]],0))</f>
        <v/>
      </c>
      <c r="W78" s="135"/>
      <c r="X78" s="135"/>
      <c r="Y78" s="102"/>
      <c r="Z78" s="105" t="str">
        <f>IF(OR(ISBLANK(Term2_Early_Dismissal_4[[#This Row],[Start]]),ISBLANK(Term2_Early_Dismissal_4[[#This Row],[End]])),"",(Term2_Early_Dismissal_4[[#This Row],[End]]-Term2_Early_Dismissal_4[[#This Row],[Start]])*1440)</f>
        <v/>
      </c>
      <c r="AA78" s="105" t="str">
        <f>IF(ISBLANK(Term2_Early_Dismissal_4[[#This Row],[Activity]]),"",IF(_xlfn.XLOOKUP(Term2_Early_Dismissal_4[[#This Row],[Activity]],Types_of_Activity[Type of Activity],Types_of_Activity[Classification])=1,Term2_Early_Dismissal_4[[#This Row],[Elapsed]],0))</f>
        <v/>
      </c>
      <c r="AB78" s="105" t="str">
        <f>IF(ISBLANK(Term2_Early_Dismissal_4[[#This Row],[Activity]]),"",IF(_xlfn.XLOOKUP(Term2_Early_Dismissal_4[[#This Row],[Activity]],Types_of_Activity[Type of Activity],Types_of_Activity[Classification])=2,Term2_Early_Dismissal_4[[#This Row],[Elapsed]],0))</f>
        <v/>
      </c>
      <c r="AD78" s="135"/>
      <c r="AE78" s="135"/>
      <c r="AF78" s="102"/>
      <c r="AG78" s="105" t="str">
        <f>IF(OR(ISBLANK(Term2_Early_Dismissal_5[[#This Row],[Start]]),ISBLANK(Term2_Early_Dismissal_5[[#This Row],[End]])),"",(Term2_Early_Dismissal_5[[#This Row],[End]]-Term2_Early_Dismissal_5[[#This Row],[Start]])*1440)</f>
        <v/>
      </c>
      <c r="AH78" s="105" t="str">
        <f>IF(ISBLANK(Term2_Early_Dismissal_5[[#This Row],[Activity]]),"",IF(_xlfn.XLOOKUP(Term2_Early_Dismissal_5[[#This Row],[Activity]],Types_of_Activity[Type of Activity],Types_of_Activity[Classification])=1,Term2_Early_Dismissal_5[[#This Row],[Elapsed]],0))</f>
        <v/>
      </c>
      <c r="AI78" s="105" t="str">
        <f>IF(ISBLANK(Term2_Early_Dismissal_5[[#This Row],[Activity]]),"",IF(_xlfn.XLOOKUP(Term2_Early_Dismissal_5[[#This Row],[Activity]],Types_of_Activity[Type of Activity],Types_of_Activity[Classification])=2,Term2_Early_Dismissal_5[[#This Row],[Elapsed]],0))</f>
        <v/>
      </c>
      <c r="AK78" s="135"/>
      <c r="AL78" s="135"/>
      <c r="AM78" s="102"/>
      <c r="AN78" s="105" t="str">
        <f>IF(OR(ISBLANK(Term2_Early_Dismissal_6[[#This Row],[Start]]),ISBLANK(Term2_Early_Dismissal_6[[#This Row],[End]])),"",(Term2_Early_Dismissal_6[[#This Row],[End]]-Term2_Early_Dismissal_6[[#This Row],[Start]])*1440)</f>
        <v/>
      </c>
      <c r="AO78" s="105" t="str">
        <f>IF(ISBLANK(Term2_Early_Dismissal_6[[#This Row],[Activity]]),"",IF(_xlfn.XLOOKUP(Term2_Early_Dismissal_6[[#This Row],[Activity]],Types_of_Activity[Type of Activity],Types_of_Activity[Classification])=1,Term2_Early_Dismissal_6[[#This Row],[Elapsed]],0))</f>
        <v/>
      </c>
      <c r="AP78" s="105" t="str">
        <f>IF(ISBLANK(Term2_Early_Dismissal_6[[#This Row],[Activity]]),"",IF(_xlfn.XLOOKUP(Term2_Early_Dismissal_6[[#This Row],[Activity]],Types_of_Activity[Type of Activity],Types_of_Activity[Classification])=2,Term2_Early_Dismissal_6[[#This Row],[Elapsed]],0))</f>
        <v/>
      </c>
    </row>
    <row r="79" spans="2:42" x14ac:dyDescent="0.3">
      <c r="B79" s="135"/>
      <c r="C79" s="135"/>
      <c r="D79" s="102"/>
      <c r="E79" s="105" t="str">
        <f>IF(OR(ISBLANK(Term2_Early_Dismissal_1[[#This Row],[Start]]),ISBLANK(Term2_Early_Dismissal_1[[#This Row],[End]])),"",(Term2_Early_Dismissal_1[[#This Row],[End]]-Term2_Early_Dismissal_1[[#This Row],[Start]])*1440)</f>
        <v/>
      </c>
      <c r="F79" s="105" t="str">
        <f>IF(ISBLANK(Term2_Early_Dismissal_1[[#This Row],[Activity]]),"",IF(_xlfn.XLOOKUP(Term2_Early_Dismissal_1[[#This Row],[Activity]],Types_of_Activity[Type of Activity],Types_of_Activity[Classification])=1,Term2_Early_Dismissal_1[[#This Row],[Elapsed]],0))</f>
        <v/>
      </c>
      <c r="G79" s="105" t="str">
        <f>IF(ISBLANK(Term2_Early_Dismissal_1[[#This Row],[Activity]]),"",IF(_xlfn.XLOOKUP(Term2_Early_Dismissal_1[[#This Row],[Activity]],Types_of_Activity[Type of Activity],Types_of_Activity[Classification])=2,Term2_Early_Dismissal_1[[#This Row],[Elapsed]],0))</f>
        <v/>
      </c>
      <c r="H79"/>
      <c r="I79" s="135"/>
      <c r="J79" s="135"/>
      <c r="K79" s="102"/>
      <c r="L79" s="105" t="str">
        <f>IF(OR(ISBLANK(Term2_Early_Dismissal_2[[#This Row],[Start]]),ISBLANK(Term2_Early_Dismissal_2[[#This Row],[End]])),"",(Term2_Early_Dismissal_2[[#This Row],[End]]-Term2_Early_Dismissal_2[[#This Row],[Start]])*1440)</f>
        <v/>
      </c>
      <c r="M79" s="105" t="str">
        <f>IF(ISBLANK(Term2_Early_Dismissal_2[[#This Row],[Activity]]),"",IF(_xlfn.XLOOKUP(Term2_Early_Dismissal_2[[#This Row],[Activity]],Types_of_Activity[Type of Activity],Types_of_Activity[Classification])=1,Term2_Early_Dismissal_2[[#This Row],[Elapsed]],0))</f>
        <v/>
      </c>
      <c r="N79" s="105" t="str">
        <f>IF(ISBLANK(Term2_Early_Dismissal_2[[#This Row],[Activity]]),"",IF(_xlfn.XLOOKUP(Term2_Early_Dismissal_2[[#This Row],[Activity]],Types_of_Activity[Type of Activity],Types_of_Activity[Classification])=2,Term2_Early_Dismissal_2[[#This Row],[Elapsed]],0))</f>
        <v/>
      </c>
      <c r="O79"/>
      <c r="P79" s="135"/>
      <c r="Q79" s="135"/>
      <c r="R79" s="102"/>
      <c r="S79" s="105" t="str">
        <f>IF(OR(ISBLANK(Term2_Early_Dismissal_3[[#This Row],[Start]]),ISBLANK(Term2_Early_Dismissal_3[[#This Row],[End]])),"",(Term2_Early_Dismissal_3[[#This Row],[End]]-Term2_Early_Dismissal_3[[#This Row],[Start]])*1440)</f>
        <v/>
      </c>
      <c r="T79" s="105" t="str">
        <f>IF(ISBLANK(Term2_Early_Dismissal_3[[#This Row],[Activity]]),"",IF(_xlfn.XLOOKUP(Term2_Early_Dismissal_3[[#This Row],[Activity]],Types_of_Activity[Type of Activity],Types_of_Activity[Classification])=1,Term2_Early_Dismissal_3[[#This Row],[Elapsed]],0))</f>
        <v/>
      </c>
      <c r="U79" s="105" t="str">
        <f>IF(ISBLANK(Term2_Early_Dismissal_3[[#This Row],[Activity]]),"",IF(_xlfn.XLOOKUP(Term2_Early_Dismissal_3[[#This Row],[Activity]],Types_of_Activity[Type of Activity],Types_of_Activity[Classification])=2,Term2_Early_Dismissal_3[[#This Row],[Elapsed]],0))</f>
        <v/>
      </c>
      <c r="W79" s="135"/>
      <c r="X79" s="135"/>
      <c r="Y79" s="102"/>
      <c r="Z79" s="105" t="str">
        <f>IF(OR(ISBLANK(Term2_Early_Dismissal_4[[#This Row],[Start]]),ISBLANK(Term2_Early_Dismissal_4[[#This Row],[End]])),"",(Term2_Early_Dismissal_4[[#This Row],[End]]-Term2_Early_Dismissal_4[[#This Row],[Start]])*1440)</f>
        <v/>
      </c>
      <c r="AA79" s="105" t="str">
        <f>IF(ISBLANK(Term2_Early_Dismissal_4[[#This Row],[Activity]]),"",IF(_xlfn.XLOOKUP(Term2_Early_Dismissal_4[[#This Row],[Activity]],Types_of_Activity[Type of Activity],Types_of_Activity[Classification])=1,Term2_Early_Dismissal_4[[#This Row],[Elapsed]],0))</f>
        <v/>
      </c>
      <c r="AB79" s="105" t="str">
        <f>IF(ISBLANK(Term2_Early_Dismissal_4[[#This Row],[Activity]]),"",IF(_xlfn.XLOOKUP(Term2_Early_Dismissal_4[[#This Row],[Activity]],Types_of_Activity[Type of Activity],Types_of_Activity[Classification])=2,Term2_Early_Dismissal_4[[#This Row],[Elapsed]],0))</f>
        <v/>
      </c>
      <c r="AD79" s="135"/>
      <c r="AE79" s="135"/>
      <c r="AF79" s="102"/>
      <c r="AG79" s="105" t="str">
        <f>IF(OR(ISBLANK(Term2_Early_Dismissal_5[[#This Row],[Start]]),ISBLANK(Term2_Early_Dismissal_5[[#This Row],[End]])),"",(Term2_Early_Dismissal_5[[#This Row],[End]]-Term2_Early_Dismissal_5[[#This Row],[Start]])*1440)</f>
        <v/>
      </c>
      <c r="AH79" s="105" t="str">
        <f>IF(ISBLANK(Term2_Early_Dismissal_5[[#This Row],[Activity]]),"",IF(_xlfn.XLOOKUP(Term2_Early_Dismissal_5[[#This Row],[Activity]],Types_of_Activity[Type of Activity],Types_of_Activity[Classification])=1,Term2_Early_Dismissal_5[[#This Row],[Elapsed]],0))</f>
        <v/>
      </c>
      <c r="AI79" s="105" t="str">
        <f>IF(ISBLANK(Term2_Early_Dismissal_5[[#This Row],[Activity]]),"",IF(_xlfn.XLOOKUP(Term2_Early_Dismissal_5[[#This Row],[Activity]],Types_of_Activity[Type of Activity],Types_of_Activity[Classification])=2,Term2_Early_Dismissal_5[[#This Row],[Elapsed]],0))</f>
        <v/>
      </c>
      <c r="AK79" s="135"/>
      <c r="AL79" s="135"/>
      <c r="AM79" s="102"/>
      <c r="AN79" s="105" t="str">
        <f>IF(OR(ISBLANK(Term2_Early_Dismissal_6[[#This Row],[Start]]),ISBLANK(Term2_Early_Dismissal_6[[#This Row],[End]])),"",(Term2_Early_Dismissal_6[[#This Row],[End]]-Term2_Early_Dismissal_6[[#This Row],[Start]])*1440)</f>
        <v/>
      </c>
      <c r="AO79" s="105" t="str">
        <f>IF(ISBLANK(Term2_Early_Dismissal_6[[#This Row],[Activity]]),"",IF(_xlfn.XLOOKUP(Term2_Early_Dismissal_6[[#This Row],[Activity]],Types_of_Activity[Type of Activity],Types_of_Activity[Classification])=1,Term2_Early_Dismissal_6[[#This Row],[Elapsed]],0))</f>
        <v/>
      </c>
      <c r="AP79" s="105" t="str">
        <f>IF(ISBLANK(Term2_Early_Dismissal_6[[#This Row],[Activity]]),"",IF(_xlfn.XLOOKUP(Term2_Early_Dismissal_6[[#This Row],[Activity]],Types_of_Activity[Type of Activity],Types_of_Activity[Classification])=2,Term2_Early_Dismissal_6[[#This Row],[Elapsed]],0))</f>
        <v/>
      </c>
    </row>
    <row r="80" spans="2:42" x14ac:dyDescent="0.3">
      <c r="B80" s="135"/>
      <c r="C80" s="135"/>
      <c r="D80" s="102"/>
      <c r="E80" s="105" t="str">
        <f>IF(OR(ISBLANK(Term2_Early_Dismissal_1[[#This Row],[Start]]),ISBLANK(Term2_Early_Dismissal_1[[#This Row],[End]])),"",(Term2_Early_Dismissal_1[[#This Row],[End]]-Term2_Early_Dismissal_1[[#This Row],[Start]])*1440)</f>
        <v/>
      </c>
      <c r="F80" s="105" t="str">
        <f>IF(ISBLANK(Term2_Early_Dismissal_1[[#This Row],[Activity]]),"",IF(_xlfn.XLOOKUP(Term2_Early_Dismissal_1[[#This Row],[Activity]],Types_of_Activity[Type of Activity],Types_of_Activity[Classification])=1,Term2_Early_Dismissal_1[[#This Row],[Elapsed]],0))</f>
        <v/>
      </c>
      <c r="G80" s="105" t="str">
        <f>IF(ISBLANK(Term2_Early_Dismissal_1[[#This Row],[Activity]]),"",IF(_xlfn.XLOOKUP(Term2_Early_Dismissal_1[[#This Row],[Activity]],Types_of_Activity[Type of Activity],Types_of_Activity[Classification])=2,Term2_Early_Dismissal_1[[#This Row],[Elapsed]],0))</f>
        <v/>
      </c>
      <c r="H80"/>
      <c r="I80" s="135"/>
      <c r="J80" s="135"/>
      <c r="K80" s="102"/>
      <c r="L80" s="105" t="str">
        <f>IF(OR(ISBLANK(Term2_Early_Dismissal_2[[#This Row],[Start]]),ISBLANK(Term2_Early_Dismissal_2[[#This Row],[End]])),"",(Term2_Early_Dismissal_2[[#This Row],[End]]-Term2_Early_Dismissal_2[[#This Row],[Start]])*1440)</f>
        <v/>
      </c>
      <c r="M80" s="105" t="str">
        <f>IF(ISBLANK(Term2_Early_Dismissal_2[[#This Row],[Activity]]),"",IF(_xlfn.XLOOKUP(Term2_Early_Dismissal_2[[#This Row],[Activity]],Types_of_Activity[Type of Activity],Types_of_Activity[Classification])=1,Term2_Early_Dismissal_2[[#This Row],[Elapsed]],0))</f>
        <v/>
      </c>
      <c r="N80" s="105" t="str">
        <f>IF(ISBLANK(Term2_Early_Dismissal_2[[#This Row],[Activity]]),"",IF(_xlfn.XLOOKUP(Term2_Early_Dismissal_2[[#This Row],[Activity]],Types_of_Activity[Type of Activity],Types_of_Activity[Classification])=2,Term2_Early_Dismissal_2[[#This Row],[Elapsed]],0))</f>
        <v/>
      </c>
      <c r="O80"/>
      <c r="P80" s="135"/>
      <c r="Q80" s="135"/>
      <c r="R80" s="102"/>
      <c r="S80" s="105" t="str">
        <f>IF(OR(ISBLANK(Term2_Early_Dismissal_3[[#This Row],[Start]]),ISBLANK(Term2_Early_Dismissal_3[[#This Row],[End]])),"",(Term2_Early_Dismissal_3[[#This Row],[End]]-Term2_Early_Dismissal_3[[#This Row],[Start]])*1440)</f>
        <v/>
      </c>
      <c r="T80" s="105" t="str">
        <f>IF(ISBLANK(Term2_Early_Dismissal_3[[#This Row],[Activity]]),"",IF(_xlfn.XLOOKUP(Term2_Early_Dismissal_3[[#This Row],[Activity]],Types_of_Activity[Type of Activity],Types_of_Activity[Classification])=1,Term2_Early_Dismissal_3[[#This Row],[Elapsed]],0))</f>
        <v/>
      </c>
      <c r="U80" s="105" t="str">
        <f>IF(ISBLANK(Term2_Early_Dismissal_3[[#This Row],[Activity]]),"",IF(_xlfn.XLOOKUP(Term2_Early_Dismissal_3[[#This Row],[Activity]],Types_of_Activity[Type of Activity],Types_of_Activity[Classification])=2,Term2_Early_Dismissal_3[[#This Row],[Elapsed]],0))</f>
        <v/>
      </c>
      <c r="W80" s="135"/>
      <c r="X80" s="135"/>
      <c r="Y80" s="102"/>
      <c r="Z80" s="105" t="str">
        <f>IF(OR(ISBLANK(Term2_Early_Dismissal_4[[#This Row],[Start]]),ISBLANK(Term2_Early_Dismissal_4[[#This Row],[End]])),"",(Term2_Early_Dismissal_4[[#This Row],[End]]-Term2_Early_Dismissal_4[[#This Row],[Start]])*1440)</f>
        <v/>
      </c>
      <c r="AA80" s="105" t="str">
        <f>IF(ISBLANK(Term2_Early_Dismissal_4[[#This Row],[Activity]]),"",IF(_xlfn.XLOOKUP(Term2_Early_Dismissal_4[[#This Row],[Activity]],Types_of_Activity[Type of Activity],Types_of_Activity[Classification])=1,Term2_Early_Dismissal_4[[#This Row],[Elapsed]],0))</f>
        <v/>
      </c>
      <c r="AB80" s="105" t="str">
        <f>IF(ISBLANK(Term2_Early_Dismissal_4[[#This Row],[Activity]]),"",IF(_xlfn.XLOOKUP(Term2_Early_Dismissal_4[[#This Row],[Activity]],Types_of_Activity[Type of Activity],Types_of_Activity[Classification])=2,Term2_Early_Dismissal_4[[#This Row],[Elapsed]],0))</f>
        <v/>
      </c>
      <c r="AD80" s="135"/>
      <c r="AE80" s="135"/>
      <c r="AF80" s="102"/>
      <c r="AG80" s="105" t="str">
        <f>IF(OR(ISBLANK(Term2_Early_Dismissal_5[[#This Row],[Start]]),ISBLANK(Term2_Early_Dismissal_5[[#This Row],[End]])),"",(Term2_Early_Dismissal_5[[#This Row],[End]]-Term2_Early_Dismissal_5[[#This Row],[Start]])*1440)</f>
        <v/>
      </c>
      <c r="AH80" s="105" t="str">
        <f>IF(ISBLANK(Term2_Early_Dismissal_5[[#This Row],[Activity]]),"",IF(_xlfn.XLOOKUP(Term2_Early_Dismissal_5[[#This Row],[Activity]],Types_of_Activity[Type of Activity],Types_of_Activity[Classification])=1,Term2_Early_Dismissal_5[[#This Row],[Elapsed]],0))</f>
        <v/>
      </c>
      <c r="AI80" s="105" t="str">
        <f>IF(ISBLANK(Term2_Early_Dismissal_5[[#This Row],[Activity]]),"",IF(_xlfn.XLOOKUP(Term2_Early_Dismissal_5[[#This Row],[Activity]],Types_of_Activity[Type of Activity],Types_of_Activity[Classification])=2,Term2_Early_Dismissal_5[[#This Row],[Elapsed]],0))</f>
        <v/>
      </c>
      <c r="AK80" s="135"/>
      <c r="AL80" s="135"/>
      <c r="AM80" s="102"/>
      <c r="AN80" s="105" t="str">
        <f>IF(OR(ISBLANK(Term2_Early_Dismissal_6[[#This Row],[Start]]),ISBLANK(Term2_Early_Dismissal_6[[#This Row],[End]])),"",(Term2_Early_Dismissal_6[[#This Row],[End]]-Term2_Early_Dismissal_6[[#This Row],[Start]])*1440)</f>
        <v/>
      </c>
      <c r="AO80" s="105" t="str">
        <f>IF(ISBLANK(Term2_Early_Dismissal_6[[#This Row],[Activity]]),"",IF(_xlfn.XLOOKUP(Term2_Early_Dismissal_6[[#This Row],[Activity]],Types_of_Activity[Type of Activity],Types_of_Activity[Classification])=1,Term2_Early_Dismissal_6[[#This Row],[Elapsed]],0))</f>
        <v/>
      </c>
      <c r="AP80" s="105" t="str">
        <f>IF(ISBLANK(Term2_Early_Dismissal_6[[#This Row],[Activity]]),"",IF(_xlfn.XLOOKUP(Term2_Early_Dismissal_6[[#This Row],[Activity]],Types_of_Activity[Type of Activity],Types_of_Activity[Classification])=2,Term2_Early_Dismissal_6[[#This Row],[Elapsed]],0))</f>
        <v/>
      </c>
    </row>
    <row r="81" spans="2:42" x14ac:dyDescent="0.3">
      <c r="B81" s="135"/>
      <c r="C81" s="135"/>
      <c r="D81" s="102"/>
      <c r="E81" s="105" t="str">
        <f>IF(OR(ISBLANK(Term2_Early_Dismissal_1[[#This Row],[Start]]),ISBLANK(Term2_Early_Dismissal_1[[#This Row],[End]])),"",(Term2_Early_Dismissal_1[[#This Row],[End]]-Term2_Early_Dismissal_1[[#This Row],[Start]])*1440)</f>
        <v/>
      </c>
      <c r="F81" s="105" t="str">
        <f>IF(ISBLANK(Term2_Early_Dismissal_1[[#This Row],[Activity]]),"",IF(_xlfn.XLOOKUP(Term2_Early_Dismissal_1[[#This Row],[Activity]],Types_of_Activity[Type of Activity],Types_of_Activity[Classification])=1,Term2_Early_Dismissal_1[[#This Row],[Elapsed]],0))</f>
        <v/>
      </c>
      <c r="G81" s="105" t="str">
        <f>IF(ISBLANK(Term2_Early_Dismissal_1[[#This Row],[Activity]]),"",IF(_xlfn.XLOOKUP(Term2_Early_Dismissal_1[[#This Row],[Activity]],Types_of_Activity[Type of Activity],Types_of_Activity[Classification])=2,Term2_Early_Dismissal_1[[#This Row],[Elapsed]],0))</f>
        <v/>
      </c>
      <c r="H81"/>
      <c r="I81" s="135"/>
      <c r="J81" s="135"/>
      <c r="K81" s="102"/>
      <c r="L81" s="105" t="str">
        <f>IF(OR(ISBLANK(Term2_Early_Dismissal_2[[#This Row],[Start]]),ISBLANK(Term2_Early_Dismissal_2[[#This Row],[End]])),"",(Term2_Early_Dismissal_2[[#This Row],[End]]-Term2_Early_Dismissal_2[[#This Row],[Start]])*1440)</f>
        <v/>
      </c>
      <c r="M81" s="105" t="str">
        <f>IF(ISBLANK(Term2_Early_Dismissal_2[[#This Row],[Activity]]),"",IF(_xlfn.XLOOKUP(Term2_Early_Dismissal_2[[#This Row],[Activity]],Types_of_Activity[Type of Activity],Types_of_Activity[Classification])=1,Term2_Early_Dismissal_2[[#This Row],[Elapsed]],0))</f>
        <v/>
      </c>
      <c r="N81" s="105" t="str">
        <f>IF(ISBLANK(Term2_Early_Dismissal_2[[#This Row],[Activity]]),"",IF(_xlfn.XLOOKUP(Term2_Early_Dismissal_2[[#This Row],[Activity]],Types_of_Activity[Type of Activity],Types_of_Activity[Classification])=2,Term2_Early_Dismissal_2[[#This Row],[Elapsed]],0))</f>
        <v/>
      </c>
      <c r="O81"/>
      <c r="P81" s="135"/>
      <c r="Q81" s="135"/>
      <c r="R81" s="102"/>
      <c r="S81" s="105" t="str">
        <f>IF(OR(ISBLANK(Term2_Early_Dismissal_3[[#This Row],[Start]]),ISBLANK(Term2_Early_Dismissal_3[[#This Row],[End]])),"",(Term2_Early_Dismissal_3[[#This Row],[End]]-Term2_Early_Dismissal_3[[#This Row],[Start]])*1440)</f>
        <v/>
      </c>
      <c r="T81" s="105" t="str">
        <f>IF(ISBLANK(Term2_Early_Dismissal_3[[#This Row],[Activity]]),"",IF(_xlfn.XLOOKUP(Term2_Early_Dismissal_3[[#This Row],[Activity]],Types_of_Activity[Type of Activity],Types_of_Activity[Classification])=1,Term2_Early_Dismissal_3[[#This Row],[Elapsed]],0))</f>
        <v/>
      </c>
      <c r="U81" s="105" t="str">
        <f>IF(ISBLANK(Term2_Early_Dismissal_3[[#This Row],[Activity]]),"",IF(_xlfn.XLOOKUP(Term2_Early_Dismissal_3[[#This Row],[Activity]],Types_of_Activity[Type of Activity],Types_of_Activity[Classification])=2,Term2_Early_Dismissal_3[[#This Row],[Elapsed]],0))</f>
        <v/>
      </c>
      <c r="W81" s="135"/>
      <c r="X81" s="135"/>
      <c r="Y81" s="102"/>
      <c r="Z81" s="105" t="str">
        <f>IF(OR(ISBLANK(Term2_Early_Dismissal_4[[#This Row],[Start]]),ISBLANK(Term2_Early_Dismissal_4[[#This Row],[End]])),"",(Term2_Early_Dismissal_4[[#This Row],[End]]-Term2_Early_Dismissal_4[[#This Row],[Start]])*1440)</f>
        <v/>
      </c>
      <c r="AA81" s="105" t="str">
        <f>IF(ISBLANK(Term2_Early_Dismissal_4[[#This Row],[Activity]]),"",IF(_xlfn.XLOOKUP(Term2_Early_Dismissal_4[[#This Row],[Activity]],Types_of_Activity[Type of Activity],Types_of_Activity[Classification])=1,Term2_Early_Dismissal_4[[#This Row],[Elapsed]],0))</f>
        <v/>
      </c>
      <c r="AB81" s="105" t="str">
        <f>IF(ISBLANK(Term2_Early_Dismissal_4[[#This Row],[Activity]]),"",IF(_xlfn.XLOOKUP(Term2_Early_Dismissal_4[[#This Row],[Activity]],Types_of_Activity[Type of Activity],Types_of_Activity[Classification])=2,Term2_Early_Dismissal_4[[#This Row],[Elapsed]],0))</f>
        <v/>
      </c>
      <c r="AD81" s="135"/>
      <c r="AE81" s="135"/>
      <c r="AF81" s="102"/>
      <c r="AG81" s="105" t="str">
        <f>IF(OR(ISBLANK(Term2_Early_Dismissal_5[[#This Row],[Start]]),ISBLANK(Term2_Early_Dismissal_5[[#This Row],[End]])),"",(Term2_Early_Dismissal_5[[#This Row],[End]]-Term2_Early_Dismissal_5[[#This Row],[Start]])*1440)</f>
        <v/>
      </c>
      <c r="AH81" s="105" t="str">
        <f>IF(ISBLANK(Term2_Early_Dismissal_5[[#This Row],[Activity]]),"",IF(_xlfn.XLOOKUP(Term2_Early_Dismissal_5[[#This Row],[Activity]],Types_of_Activity[Type of Activity],Types_of_Activity[Classification])=1,Term2_Early_Dismissal_5[[#This Row],[Elapsed]],0))</f>
        <v/>
      </c>
      <c r="AI81" s="105" t="str">
        <f>IF(ISBLANK(Term2_Early_Dismissal_5[[#This Row],[Activity]]),"",IF(_xlfn.XLOOKUP(Term2_Early_Dismissal_5[[#This Row],[Activity]],Types_of_Activity[Type of Activity],Types_of_Activity[Classification])=2,Term2_Early_Dismissal_5[[#This Row],[Elapsed]],0))</f>
        <v/>
      </c>
      <c r="AK81" s="135"/>
      <c r="AL81" s="135"/>
      <c r="AM81" s="102"/>
      <c r="AN81" s="105" t="str">
        <f>IF(OR(ISBLANK(Term2_Early_Dismissal_6[[#This Row],[Start]]),ISBLANK(Term2_Early_Dismissal_6[[#This Row],[End]])),"",(Term2_Early_Dismissal_6[[#This Row],[End]]-Term2_Early_Dismissal_6[[#This Row],[Start]])*1440)</f>
        <v/>
      </c>
      <c r="AO81" s="105" t="str">
        <f>IF(ISBLANK(Term2_Early_Dismissal_6[[#This Row],[Activity]]),"",IF(_xlfn.XLOOKUP(Term2_Early_Dismissal_6[[#This Row],[Activity]],Types_of_Activity[Type of Activity],Types_of_Activity[Classification])=1,Term2_Early_Dismissal_6[[#This Row],[Elapsed]],0))</f>
        <v/>
      </c>
      <c r="AP81" s="105" t="str">
        <f>IF(ISBLANK(Term2_Early_Dismissal_6[[#This Row],[Activity]]),"",IF(_xlfn.XLOOKUP(Term2_Early_Dismissal_6[[#This Row],[Activity]],Types_of_Activity[Type of Activity],Types_of_Activity[Classification])=2,Term2_Early_Dismissal_6[[#This Row],[Elapsed]],0))</f>
        <v/>
      </c>
    </row>
    <row r="82" spans="2:42" x14ac:dyDescent="0.3">
      <c r="B82" s="135"/>
      <c r="C82" s="135"/>
      <c r="D82" s="102"/>
      <c r="E82" s="105" t="str">
        <f>IF(OR(ISBLANK(Term2_Early_Dismissal_1[[#This Row],[Start]]),ISBLANK(Term2_Early_Dismissal_1[[#This Row],[End]])),"",(Term2_Early_Dismissal_1[[#This Row],[End]]-Term2_Early_Dismissal_1[[#This Row],[Start]])*1440)</f>
        <v/>
      </c>
      <c r="F82" s="105" t="str">
        <f>IF(ISBLANK(Term2_Early_Dismissal_1[[#This Row],[Activity]]),"",IF(_xlfn.XLOOKUP(Term2_Early_Dismissal_1[[#This Row],[Activity]],Types_of_Activity[Type of Activity],Types_of_Activity[Classification])=1,Term2_Early_Dismissal_1[[#This Row],[Elapsed]],0))</f>
        <v/>
      </c>
      <c r="G82" s="105" t="str">
        <f>IF(ISBLANK(Term2_Early_Dismissal_1[[#This Row],[Activity]]),"",IF(_xlfn.XLOOKUP(Term2_Early_Dismissal_1[[#This Row],[Activity]],Types_of_Activity[Type of Activity],Types_of_Activity[Classification])=2,Term2_Early_Dismissal_1[[#This Row],[Elapsed]],0))</f>
        <v/>
      </c>
      <c r="H82"/>
      <c r="I82" s="135"/>
      <c r="J82" s="135"/>
      <c r="K82" s="102"/>
      <c r="L82" s="105" t="str">
        <f>IF(OR(ISBLANK(Term2_Early_Dismissal_2[[#This Row],[Start]]),ISBLANK(Term2_Early_Dismissal_2[[#This Row],[End]])),"",(Term2_Early_Dismissal_2[[#This Row],[End]]-Term2_Early_Dismissal_2[[#This Row],[Start]])*1440)</f>
        <v/>
      </c>
      <c r="M82" s="105" t="str">
        <f>IF(ISBLANK(Term2_Early_Dismissal_2[[#This Row],[Activity]]),"",IF(_xlfn.XLOOKUP(Term2_Early_Dismissal_2[[#This Row],[Activity]],Types_of_Activity[Type of Activity],Types_of_Activity[Classification])=1,Term2_Early_Dismissal_2[[#This Row],[Elapsed]],0))</f>
        <v/>
      </c>
      <c r="N82" s="105" t="str">
        <f>IF(ISBLANK(Term2_Early_Dismissal_2[[#This Row],[Activity]]),"",IF(_xlfn.XLOOKUP(Term2_Early_Dismissal_2[[#This Row],[Activity]],Types_of_Activity[Type of Activity],Types_of_Activity[Classification])=2,Term2_Early_Dismissal_2[[#This Row],[Elapsed]],0))</f>
        <v/>
      </c>
      <c r="O82"/>
      <c r="P82" s="135"/>
      <c r="Q82" s="135"/>
      <c r="R82" s="102"/>
      <c r="S82" s="105" t="str">
        <f>IF(OR(ISBLANK(Term2_Early_Dismissal_3[[#This Row],[Start]]),ISBLANK(Term2_Early_Dismissal_3[[#This Row],[End]])),"",(Term2_Early_Dismissal_3[[#This Row],[End]]-Term2_Early_Dismissal_3[[#This Row],[Start]])*1440)</f>
        <v/>
      </c>
      <c r="T82" s="105" t="str">
        <f>IF(ISBLANK(Term2_Early_Dismissal_3[[#This Row],[Activity]]),"",IF(_xlfn.XLOOKUP(Term2_Early_Dismissal_3[[#This Row],[Activity]],Types_of_Activity[Type of Activity],Types_of_Activity[Classification])=1,Term2_Early_Dismissal_3[[#This Row],[Elapsed]],0))</f>
        <v/>
      </c>
      <c r="U82" s="105" t="str">
        <f>IF(ISBLANK(Term2_Early_Dismissal_3[[#This Row],[Activity]]),"",IF(_xlfn.XLOOKUP(Term2_Early_Dismissal_3[[#This Row],[Activity]],Types_of_Activity[Type of Activity],Types_of_Activity[Classification])=2,Term2_Early_Dismissal_3[[#This Row],[Elapsed]],0))</f>
        <v/>
      </c>
      <c r="W82" s="135"/>
      <c r="X82" s="135"/>
      <c r="Y82" s="102"/>
      <c r="Z82" s="105" t="str">
        <f>IF(OR(ISBLANK(Term2_Early_Dismissal_4[[#This Row],[Start]]),ISBLANK(Term2_Early_Dismissal_4[[#This Row],[End]])),"",(Term2_Early_Dismissal_4[[#This Row],[End]]-Term2_Early_Dismissal_4[[#This Row],[Start]])*1440)</f>
        <v/>
      </c>
      <c r="AA82" s="105" t="str">
        <f>IF(ISBLANK(Term2_Early_Dismissal_4[[#This Row],[Activity]]),"",IF(_xlfn.XLOOKUP(Term2_Early_Dismissal_4[[#This Row],[Activity]],Types_of_Activity[Type of Activity],Types_of_Activity[Classification])=1,Term2_Early_Dismissal_4[[#This Row],[Elapsed]],0))</f>
        <v/>
      </c>
      <c r="AB82" s="105" t="str">
        <f>IF(ISBLANK(Term2_Early_Dismissal_4[[#This Row],[Activity]]),"",IF(_xlfn.XLOOKUP(Term2_Early_Dismissal_4[[#This Row],[Activity]],Types_of_Activity[Type of Activity],Types_of_Activity[Classification])=2,Term2_Early_Dismissal_4[[#This Row],[Elapsed]],0))</f>
        <v/>
      </c>
      <c r="AD82" s="135"/>
      <c r="AE82" s="135"/>
      <c r="AF82" s="102"/>
      <c r="AG82" s="105" t="str">
        <f>IF(OR(ISBLANK(Term2_Early_Dismissal_5[[#This Row],[Start]]),ISBLANK(Term2_Early_Dismissal_5[[#This Row],[End]])),"",(Term2_Early_Dismissal_5[[#This Row],[End]]-Term2_Early_Dismissal_5[[#This Row],[Start]])*1440)</f>
        <v/>
      </c>
      <c r="AH82" s="105" t="str">
        <f>IF(ISBLANK(Term2_Early_Dismissal_5[[#This Row],[Activity]]),"",IF(_xlfn.XLOOKUP(Term2_Early_Dismissal_5[[#This Row],[Activity]],Types_of_Activity[Type of Activity],Types_of_Activity[Classification])=1,Term2_Early_Dismissal_5[[#This Row],[Elapsed]],0))</f>
        <v/>
      </c>
      <c r="AI82" s="105" t="str">
        <f>IF(ISBLANK(Term2_Early_Dismissal_5[[#This Row],[Activity]]),"",IF(_xlfn.XLOOKUP(Term2_Early_Dismissal_5[[#This Row],[Activity]],Types_of_Activity[Type of Activity],Types_of_Activity[Classification])=2,Term2_Early_Dismissal_5[[#This Row],[Elapsed]],0))</f>
        <v/>
      </c>
      <c r="AK82" s="135"/>
      <c r="AL82" s="135"/>
      <c r="AM82" s="102"/>
      <c r="AN82" s="105" t="str">
        <f>IF(OR(ISBLANK(Term2_Early_Dismissal_6[[#This Row],[Start]]),ISBLANK(Term2_Early_Dismissal_6[[#This Row],[End]])),"",(Term2_Early_Dismissal_6[[#This Row],[End]]-Term2_Early_Dismissal_6[[#This Row],[Start]])*1440)</f>
        <v/>
      </c>
      <c r="AO82" s="105" t="str">
        <f>IF(ISBLANK(Term2_Early_Dismissal_6[[#This Row],[Activity]]),"",IF(_xlfn.XLOOKUP(Term2_Early_Dismissal_6[[#This Row],[Activity]],Types_of_Activity[Type of Activity],Types_of_Activity[Classification])=1,Term2_Early_Dismissal_6[[#This Row],[Elapsed]],0))</f>
        <v/>
      </c>
      <c r="AP82" s="105" t="str">
        <f>IF(ISBLANK(Term2_Early_Dismissal_6[[#This Row],[Activity]]),"",IF(_xlfn.XLOOKUP(Term2_Early_Dismissal_6[[#This Row],[Activity]],Types_of_Activity[Type of Activity],Types_of_Activity[Classification])=2,Term2_Early_Dismissal_6[[#This Row],[Elapsed]],0))</f>
        <v/>
      </c>
    </row>
    <row r="83" spans="2:42" x14ac:dyDescent="0.3">
      <c r="B83" s="135"/>
      <c r="C83" s="135"/>
      <c r="D83" s="102"/>
      <c r="E83" s="105" t="str">
        <f>IF(OR(ISBLANK(Term2_Early_Dismissal_1[[#This Row],[Start]]),ISBLANK(Term2_Early_Dismissal_1[[#This Row],[End]])),"",(Term2_Early_Dismissal_1[[#This Row],[End]]-Term2_Early_Dismissal_1[[#This Row],[Start]])*1440)</f>
        <v/>
      </c>
      <c r="F83" s="105" t="str">
        <f>IF(ISBLANK(Term2_Early_Dismissal_1[[#This Row],[Activity]]),"",IF(_xlfn.XLOOKUP(Term2_Early_Dismissal_1[[#This Row],[Activity]],Types_of_Activity[Type of Activity],Types_of_Activity[Classification])=1,Term2_Early_Dismissal_1[[#This Row],[Elapsed]],0))</f>
        <v/>
      </c>
      <c r="G83" s="105" t="str">
        <f>IF(ISBLANK(Term2_Early_Dismissal_1[[#This Row],[Activity]]),"",IF(_xlfn.XLOOKUP(Term2_Early_Dismissal_1[[#This Row],[Activity]],Types_of_Activity[Type of Activity],Types_of_Activity[Classification])=2,Term2_Early_Dismissal_1[[#This Row],[Elapsed]],0))</f>
        <v/>
      </c>
      <c r="H83"/>
      <c r="I83" s="135"/>
      <c r="J83" s="135"/>
      <c r="K83" s="102"/>
      <c r="L83" s="105" t="str">
        <f>IF(OR(ISBLANK(Term2_Early_Dismissal_2[[#This Row],[Start]]),ISBLANK(Term2_Early_Dismissal_2[[#This Row],[End]])),"",(Term2_Early_Dismissal_2[[#This Row],[End]]-Term2_Early_Dismissal_2[[#This Row],[Start]])*1440)</f>
        <v/>
      </c>
      <c r="M83" s="105" t="str">
        <f>IF(ISBLANK(Term2_Early_Dismissal_2[[#This Row],[Activity]]),"",IF(_xlfn.XLOOKUP(Term2_Early_Dismissal_2[[#This Row],[Activity]],Types_of_Activity[Type of Activity],Types_of_Activity[Classification])=1,Term2_Early_Dismissal_2[[#This Row],[Elapsed]],0))</f>
        <v/>
      </c>
      <c r="N83" s="105" t="str">
        <f>IF(ISBLANK(Term2_Early_Dismissal_2[[#This Row],[Activity]]),"",IF(_xlfn.XLOOKUP(Term2_Early_Dismissal_2[[#This Row],[Activity]],Types_of_Activity[Type of Activity],Types_of_Activity[Classification])=2,Term2_Early_Dismissal_2[[#This Row],[Elapsed]],0))</f>
        <v/>
      </c>
      <c r="O83"/>
      <c r="P83" s="135"/>
      <c r="Q83" s="135"/>
      <c r="R83" s="102"/>
      <c r="S83" s="105" t="str">
        <f>IF(OR(ISBLANK(Term2_Early_Dismissal_3[[#This Row],[Start]]),ISBLANK(Term2_Early_Dismissal_3[[#This Row],[End]])),"",(Term2_Early_Dismissal_3[[#This Row],[End]]-Term2_Early_Dismissal_3[[#This Row],[Start]])*1440)</f>
        <v/>
      </c>
      <c r="T83" s="105" t="str">
        <f>IF(ISBLANK(Term2_Early_Dismissal_3[[#This Row],[Activity]]),"",IF(_xlfn.XLOOKUP(Term2_Early_Dismissal_3[[#This Row],[Activity]],Types_of_Activity[Type of Activity],Types_of_Activity[Classification])=1,Term2_Early_Dismissal_3[[#This Row],[Elapsed]],0))</f>
        <v/>
      </c>
      <c r="U83" s="105" t="str">
        <f>IF(ISBLANK(Term2_Early_Dismissal_3[[#This Row],[Activity]]),"",IF(_xlfn.XLOOKUP(Term2_Early_Dismissal_3[[#This Row],[Activity]],Types_of_Activity[Type of Activity],Types_of_Activity[Classification])=2,Term2_Early_Dismissal_3[[#This Row],[Elapsed]],0))</f>
        <v/>
      </c>
      <c r="W83" s="135"/>
      <c r="X83" s="135"/>
      <c r="Y83" s="102"/>
      <c r="Z83" s="105" t="str">
        <f>IF(OR(ISBLANK(Term2_Early_Dismissal_4[[#This Row],[Start]]),ISBLANK(Term2_Early_Dismissal_4[[#This Row],[End]])),"",(Term2_Early_Dismissal_4[[#This Row],[End]]-Term2_Early_Dismissal_4[[#This Row],[Start]])*1440)</f>
        <v/>
      </c>
      <c r="AA83" s="105" t="str">
        <f>IF(ISBLANK(Term2_Early_Dismissal_4[[#This Row],[Activity]]),"",IF(_xlfn.XLOOKUP(Term2_Early_Dismissal_4[[#This Row],[Activity]],Types_of_Activity[Type of Activity],Types_of_Activity[Classification])=1,Term2_Early_Dismissal_4[[#This Row],[Elapsed]],0))</f>
        <v/>
      </c>
      <c r="AB83" s="105" t="str">
        <f>IF(ISBLANK(Term2_Early_Dismissal_4[[#This Row],[Activity]]),"",IF(_xlfn.XLOOKUP(Term2_Early_Dismissal_4[[#This Row],[Activity]],Types_of_Activity[Type of Activity],Types_of_Activity[Classification])=2,Term2_Early_Dismissal_4[[#This Row],[Elapsed]],0))</f>
        <v/>
      </c>
      <c r="AD83" s="135"/>
      <c r="AE83" s="135"/>
      <c r="AF83" s="102"/>
      <c r="AG83" s="105" t="str">
        <f>IF(OR(ISBLANK(Term2_Early_Dismissal_5[[#This Row],[Start]]),ISBLANK(Term2_Early_Dismissal_5[[#This Row],[End]])),"",(Term2_Early_Dismissal_5[[#This Row],[End]]-Term2_Early_Dismissal_5[[#This Row],[Start]])*1440)</f>
        <v/>
      </c>
      <c r="AH83" s="105" t="str">
        <f>IF(ISBLANK(Term2_Early_Dismissal_5[[#This Row],[Activity]]),"",IF(_xlfn.XLOOKUP(Term2_Early_Dismissal_5[[#This Row],[Activity]],Types_of_Activity[Type of Activity],Types_of_Activity[Classification])=1,Term2_Early_Dismissal_5[[#This Row],[Elapsed]],0))</f>
        <v/>
      </c>
      <c r="AI83" s="105" t="str">
        <f>IF(ISBLANK(Term2_Early_Dismissal_5[[#This Row],[Activity]]),"",IF(_xlfn.XLOOKUP(Term2_Early_Dismissal_5[[#This Row],[Activity]],Types_of_Activity[Type of Activity],Types_of_Activity[Classification])=2,Term2_Early_Dismissal_5[[#This Row],[Elapsed]],0))</f>
        <v/>
      </c>
      <c r="AK83" s="135"/>
      <c r="AL83" s="135"/>
      <c r="AM83" s="102"/>
      <c r="AN83" s="105" t="str">
        <f>IF(OR(ISBLANK(Term2_Early_Dismissal_6[[#This Row],[Start]]),ISBLANK(Term2_Early_Dismissal_6[[#This Row],[End]])),"",(Term2_Early_Dismissal_6[[#This Row],[End]]-Term2_Early_Dismissal_6[[#This Row],[Start]])*1440)</f>
        <v/>
      </c>
      <c r="AO83" s="105" t="str">
        <f>IF(ISBLANK(Term2_Early_Dismissal_6[[#This Row],[Activity]]),"",IF(_xlfn.XLOOKUP(Term2_Early_Dismissal_6[[#This Row],[Activity]],Types_of_Activity[Type of Activity],Types_of_Activity[Classification])=1,Term2_Early_Dismissal_6[[#This Row],[Elapsed]],0))</f>
        <v/>
      </c>
      <c r="AP83" s="105" t="str">
        <f>IF(ISBLANK(Term2_Early_Dismissal_6[[#This Row],[Activity]]),"",IF(_xlfn.XLOOKUP(Term2_Early_Dismissal_6[[#This Row],[Activity]],Types_of_Activity[Type of Activity],Types_of_Activity[Classification])=2,Term2_Early_Dismissal_6[[#This Row],[Elapsed]],0))</f>
        <v/>
      </c>
    </row>
    <row r="84" spans="2:42" x14ac:dyDescent="0.3">
      <c r="B84" s="135"/>
      <c r="C84" s="135"/>
      <c r="D84" s="102"/>
      <c r="E84" s="105" t="str">
        <f>IF(OR(ISBLANK(Term2_Early_Dismissal_1[[#This Row],[Start]]),ISBLANK(Term2_Early_Dismissal_1[[#This Row],[End]])),"",(Term2_Early_Dismissal_1[[#This Row],[End]]-Term2_Early_Dismissal_1[[#This Row],[Start]])*1440)</f>
        <v/>
      </c>
      <c r="F84" s="105" t="str">
        <f>IF(ISBLANK(Term2_Early_Dismissal_1[[#This Row],[Activity]]),"",IF(_xlfn.XLOOKUP(Term2_Early_Dismissal_1[[#This Row],[Activity]],Types_of_Activity[Type of Activity],Types_of_Activity[Classification])=1,Term2_Early_Dismissal_1[[#This Row],[Elapsed]],0))</f>
        <v/>
      </c>
      <c r="G84" s="105" t="str">
        <f>IF(ISBLANK(Term2_Early_Dismissal_1[[#This Row],[Activity]]),"",IF(_xlfn.XLOOKUP(Term2_Early_Dismissal_1[[#This Row],[Activity]],Types_of_Activity[Type of Activity],Types_of_Activity[Classification])=2,Term2_Early_Dismissal_1[[#This Row],[Elapsed]],0))</f>
        <v/>
      </c>
      <c r="H84"/>
      <c r="I84" s="135"/>
      <c r="J84" s="135"/>
      <c r="K84" s="102"/>
      <c r="L84" s="105" t="str">
        <f>IF(OR(ISBLANK(Term2_Early_Dismissal_2[[#This Row],[Start]]),ISBLANK(Term2_Early_Dismissal_2[[#This Row],[End]])),"",(Term2_Early_Dismissal_2[[#This Row],[End]]-Term2_Early_Dismissal_2[[#This Row],[Start]])*1440)</f>
        <v/>
      </c>
      <c r="M84" s="105" t="str">
        <f>IF(ISBLANK(Term2_Early_Dismissal_2[[#This Row],[Activity]]),"",IF(_xlfn.XLOOKUP(Term2_Early_Dismissal_2[[#This Row],[Activity]],Types_of_Activity[Type of Activity],Types_of_Activity[Classification])=1,Term2_Early_Dismissal_2[[#This Row],[Elapsed]],0))</f>
        <v/>
      </c>
      <c r="N84" s="105" t="str">
        <f>IF(ISBLANK(Term2_Early_Dismissal_2[[#This Row],[Activity]]),"",IF(_xlfn.XLOOKUP(Term2_Early_Dismissal_2[[#This Row],[Activity]],Types_of_Activity[Type of Activity],Types_of_Activity[Classification])=2,Term2_Early_Dismissal_2[[#This Row],[Elapsed]],0))</f>
        <v/>
      </c>
      <c r="O84"/>
      <c r="P84" s="135"/>
      <c r="Q84" s="135"/>
      <c r="R84" s="102"/>
      <c r="S84" s="105" t="str">
        <f>IF(OR(ISBLANK(Term2_Early_Dismissal_3[[#This Row],[Start]]),ISBLANK(Term2_Early_Dismissal_3[[#This Row],[End]])),"",(Term2_Early_Dismissal_3[[#This Row],[End]]-Term2_Early_Dismissal_3[[#This Row],[Start]])*1440)</f>
        <v/>
      </c>
      <c r="T84" s="105" t="str">
        <f>IF(ISBLANK(Term2_Early_Dismissal_3[[#This Row],[Activity]]),"",IF(_xlfn.XLOOKUP(Term2_Early_Dismissal_3[[#This Row],[Activity]],Types_of_Activity[Type of Activity],Types_of_Activity[Classification])=1,Term2_Early_Dismissal_3[[#This Row],[Elapsed]],0))</f>
        <v/>
      </c>
      <c r="U84" s="105" t="str">
        <f>IF(ISBLANK(Term2_Early_Dismissal_3[[#This Row],[Activity]]),"",IF(_xlfn.XLOOKUP(Term2_Early_Dismissal_3[[#This Row],[Activity]],Types_of_Activity[Type of Activity],Types_of_Activity[Classification])=2,Term2_Early_Dismissal_3[[#This Row],[Elapsed]],0))</f>
        <v/>
      </c>
      <c r="W84" s="135"/>
      <c r="X84" s="135"/>
      <c r="Y84" s="102"/>
      <c r="Z84" s="105" t="str">
        <f>IF(OR(ISBLANK(Term2_Early_Dismissal_4[[#This Row],[Start]]),ISBLANK(Term2_Early_Dismissal_4[[#This Row],[End]])),"",(Term2_Early_Dismissal_4[[#This Row],[End]]-Term2_Early_Dismissal_4[[#This Row],[Start]])*1440)</f>
        <v/>
      </c>
      <c r="AA84" s="105" t="str">
        <f>IF(ISBLANK(Term2_Early_Dismissal_4[[#This Row],[Activity]]),"",IF(_xlfn.XLOOKUP(Term2_Early_Dismissal_4[[#This Row],[Activity]],Types_of_Activity[Type of Activity],Types_of_Activity[Classification])=1,Term2_Early_Dismissal_4[[#This Row],[Elapsed]],0))</f>
        <v/>
      </c>
      <c r="AB84" s="105" t="str">
        <f>IF(ISBLANK(Term2_Early_Dismissal_4[[#This Row],[Activity]]),"",IF(_xlfn.XLOOKUP(Term2_Early_Dismissal_4[[#This Row],[Activity]],Types_of_Activity[Type of Activity],Types_of_Activity[Classification])=2,Term2_Early_Dismissal_4[[#This Row],[Elapsed]],0))</f>
        <v/>
      </c>
      <c r="AD84" s="135"/>
      <c r="AE84" s="135"/>
      <c r="AF84" s="102"/>
      <c r="AG84" s="105" t="str">
        <f>IF(OR(ISBLANK(Term2_Early_Dismissal_5[[#This Row],[Start]]),ISBLANK(Term2_Early_Dismissal_5[[#This Row],[End]])),"",(Term2_Early_Dismissal_5[[#This Row],[End]]-Term2_Early_Dismissal_5[[#This Row],[Start]])*1440)</f>
        <v/>
      </c>
      <c r="AH84" s="105" t="str">
        <f>IF(ISBLANK(Term2_Early_Dismissal_5[[#This Row],[Activity]]),"",IF(_xlfn.XLOOKUP(Term2_Early_Dismissal_5[[#This Row],[Activity]],Types_of_Activity[Type of Activity],Types_of_Activity[Classification])=1,Term2_Early_Dismissal_5[[#This Row],[Elapsed]],0))</f>
        <v/>
      </c>
      <c r="AI84" s="105" t="str">
        <f>IF(ISBLANK(Term2_Early_Dismissal_5[[#This Row],[Activity]]),"",IF(_xlfn.XLOOKUP(Term2_Early_Dismissal_5[[#This Row],[Activity]],Types_of_Activity[Type of Activity],Types_of_Activity[Classification])=2,Term2_Early_Dismissal_5[[#This Row],[Elapsed]],0))</f>
        <v/>
      </c>
      <c r="AK84" s="135"/>
      <c r="AL84" s="135"/>
      <c r="AM84" s="102"/>
      <c r="AN84" s="105" t="str">
        <f>IF(OR(ISBLANK(Term2_Early_Dismissal_6[[#This Row],[Start]]),ISBLANK(Term2_Early_Dismissal_6[[#This Row],[End]])),"",(Term2_Early_Dismissal_6[[#This Row],[End]]-Term2_Early_Dismissal_6[[#This Row],[Start]])*1440)</f>
        <v/>
      </c>
      <c r="AO84" s="105" t="str">
        <f>IF(ISBLANK(Term2_Early_Dismissal_6[[#This Row],[Activity]]),"",IF(_xlfn.XLOOKUP(Term2_Early_Dismissal_6[[#This Row],[Activity]],Types_of_Activity[Type of Activity],Types_of_Activity[Classification])=1,Term2_Early_Dismissal_6[[#This Row],[Elapsed]],0))</f>
        <v/>
      </c>
      <c r="AP84" s="105" t="str">
        <f>IF(ISBLANK(Term2_Early_Dismissal_6[[#This Row],[Activity]]),"",IF(_xlfn.XLOOKUP(Term2_Early_Dismissal_6[[#This Row],[Activity]],Types_of_Activity[Type of Activity],Types_of_Activity[Classification])=2,Term2_Early_Dismissal_6[[#This Row],[Elapsed]],0))</f>
        <v/>
      </c>
    </row>
    <row r="85" spans="2:42" x14ac:dyDescent="0.3">
      <c r="B85" s="135"/>
      <c r="C85" s="135"/>
      <c r="D85" s="102"/>
      <c r="E85" s="105" t="str">
        <f>IF(OR(ISBLANK(Term2_Early_Dismissal_1[[#This Row],[Start]]),ISBLANK(Term2_Early_Dismissal_1[[#This Row],[End]])),"",(Term2_Early_Dismissal_1[[#This Row],[End]]-Term2_Early_Dismissal_1[[#This Row],[Start]])*1440)</f>
        <v/>
      </c>
      <c r="F85" s="105" t="str">
        <f>IF(ISBLANK(Term2_Early_Dismissal_1[[#This Row],[Activity]]),"",IF(_xlfn.XLOOKUP(Term2_Early_Dismissal_1[[#This Row],[Activity]],Types_of_Activity[Type of Activity],Types_of_Activity[Classification])=1,Term2_Early_Dismissal_1[[#This Row],[Elapsed]],0))</f>
        <v/>
      </c>
      <c r="G85" s="105" t="str">
        <f>IF(ISBLANK(Term2_Early_Dismissal_1[[#This Row],[Activity]]),"",IF(_xlfn.XLOOKUP(Term2_Early_Dismissal_1[[#This Row],[Activity]],Types_of_Activity[Type of Activity],Types_of_Activity[Classification])=2,Term2_Early_Dismissal_1[[#This Row],[Elapsed]],0))</f>
        <v/>
      </c>
      <c r="H85"/>
      <c r="I85" s="135"/>
      <c r="J85" s="135"/>
      <c r="K85" s="102"/>
      <c r="L85" s="105" t="str">
        <f>IF(OR(ISBLANK(Term2_Early_Dismissal_2[[#This Row],[Start]]),ISBLANK(Term2_Early_Dismissal_2[[#This Row],[End]])),"",(Term2_Early_Dismissal_2[[#This Row],[End]]-Term2_Early_Dismissal_2[[#This Row],[Start]])*1440)</f>
        <v/>
      </c>
      <c r="M85" s="105" t="str">
        <f>IF(ISBLANK(Term2_Early_Dismissal_2[[#This Row],[Activity]]),"",IF(_xlfn.XLOOKUP(Term2_Early_Dismissal_2[[#This Row],[Activity]],Types_of_Activity[Type of Activity],Types_of_Activity[Classification])=1,Term2_Early_Dismissal_2[[#This Row],[Elapsed]],0))</f>
        <v/>
      </c>
      <c r="N85" s="105" t="str">
        <f>IF(ISBLANK(Term2_Early_Dismissal_2[[#This Row],[Activity]]),"",IF(_xlfn.XLOOKUP(Term2_Early_Dismissal_2[[#This Row],[Activity]],Types_of_Activity[Type of Activity],Types_of_Activity[Classification])=2,Term2_Early_Dismissal_2[[#This Row],[Elapsed]],0))</f>
        <v/>
      </c>
      <c r="O85"/>
      <c r="P85" s="135"/>
      <c r="Q85" s="135"/>
      <c r="R85" s="102"/>
      <c r="S85" s="105" t="str">
        <f>IF(OR(ISBLANK(Term2_Early_Dismissal_3[[#This Row],[Start]]),ISBLANK(Term2_Early_Dismissal_3[[#This Row],[End]])),"",(Term2_Early_Dismissal_3[[#This Row],[End]]-Term2_Early_Dismissal_3[[#This Row],[Start]])*1440)</f>
        <v/>
      </c>
      <c r="T85" s="105" t="str">
        <f>IF(ISBLANK(Term2_Early_Dismissal_3[[#This Row],[Activity]]),"",IF(_xlfn.XLOOKUP(Term2_Early_Dismissal_3[[#This Row],[Activity]],Types_of_Activity[Type of Activity],Types_of_Activity[Classification])=1,Term2_Early_Dismissal_3[[#This Row],[Elapsed]],0))</f>
        <v/>
      </c>
      <c r="U85" s="105" t="str">
        <f>IF(ISBLANK(Term2_Early_Dismissal_3[[#This Row],[Activity]]),"",IF(_xlfn.XLOOKUP(Term2_Early_Dismissal_3[[#This Row],[Activity]],Types_of_Activity[Type of Activity],Types_of_Activity[Classification])=2,Term2_Early_Dismissal_3[[#This Row],[Elapsed]],0))</f>
        <v/>
      </c>
      <c r="W85" s="135"/>
      <c r="X85" s="135"/>
      <c r="Y85" s="102"/>
      <c r="Z85" s="105" t="str">
        <f>IF(OR(ISBLANK(Term2_Early_Dismissal_4[[#This Row],[Start]]),ISBLANK(Term2_Early_Dismissal_4[[#This Row],[End]])),"",(Term2_Early_Dismissal_4[[#This Row],[End]]-Term2_Early_Dismissal_4[[#This Row],[Start]])*1440)</f>
        <v/>
      </c>
      <c r="AA85" s="105" t="str">
        <f>IF(ISBLANK(Term2_Early_Dismissal_4[[#This Row],[Activity]]),"",IF(_xlfn.XLOOKUP(Term2_Early_Dismissal_4[[#This Row],[Activity]],Types_of_Activity[Type of Activity],Types_of_Activity[Classification])=1,Term2_Early_Dismissal_4[[#This Row],[Elapsed]],0))</f>
        <v/>
      </c>
      <c r="AB85" s="105" t="str">
        <f>IF(ISBLANK(Term2_Early_Dismissal_4[[#This Row],[Activity]]),"",IF(_xlfn.XLOOKUP(Term2_Early_Dismissal_4[[#This Row],[Activity]],Types_of_Activity[Type of Activity],Types_of_Activity[Classification])=2,Term2_Early_Dismissal_4[[#This Row],[Elapsed]],0))</f>
        <v/>
      </c>
      <c r="AD85" s="135"/>
      <c r="AE85" s="135"/>
      <c r="AF85" s="102"/>
      <c r="AG85" s="105" t="str">
        <f>IF(OR(ISBLANK(Term2_Early_Dismissal_5[[#This Row],[Start]]),ISBLANK(Term2_Early_Dismissal_5[[#This Row],[End]])),"",(Term2_Early_Dismissal_5[[#This Row],[End]]-Term2_Early_Dismissal_5[[#This Row],[Start]])*1440)</f>
        <v/>
      </c>
      <c r="AH85" s="105" t="str">
        <f>IF(ISBLANK(Term2_Early_Dismissal_5[[#This Row],[Activity]]),"",IF(_xlfn.XLOOKUP(Term2_Early_Dismissal_5[[#This Row],[Activity]],Types_of_Activity[Type of Activity],Types_of_Activity[Classification])=1,Term2_Early_Dismissal_5[[#This Row],[Elapsed]],0))</f>
        <v/>
      </c>
      <c r="AI85" s="105" t="str">
        <f>IF(ISBLANK(Term2_Early_Dismissal_5[[#This Row],[Activity]]),"",IF(_xlfn.XLOOKUP(Term2_Early_Dismissal_5[[#This Row],[Activity]],Types_of_Activity[Type of Activity],Types_of_Activity[Classification])=2,Term2_Early_Dismissal_5[[#This Row],[Elapsed]],0))</f>
        <v/>
      </c>
      <c r="AK85" s="135"/>
      <c r="AL85" s="135"/>
      <c r="AM85" s="102"/>
      <c r="AN85" s="105" t="str">
        <f>IF(OR(ISBLANK(Term2_Early_Dismissal_6[[#This Row],[Start]]),ISBLANK(Term2_Early_Dismissal_6[[#This Row],[End]])),"",(Term2_Early_Dismissal_6[[#This Row],[End]]-Term2_Early_Dismissal_6[[#This Row],[Start]])*1440)</f>
        <v/>
      </c>
      <c r="AO85" s="105" t="str">
        <f>IF(ISBLANK(Term2_Early_Dismissal_6[[#This Row],[Activity]]),"",IF(_xlfn.XLOOKUP(Term2_Early_Dismissal_6[[#This Row],[Activity]],Types_of_Activity[Type of Activity],Types_of_Activity[Classification])=1,Term2_Early_Dismissal_6[[#This Row],[Elapsed]],0))</f>
        <v/>
      </c>
      <c r="AP85" s="105" t="str">
        <f>IF(ISBLANK(Term2_Early_Dismissal_6[[#This Row],[Activity]]),"",IF(_xlfn.XLOOKUP(Term2_Early_Dismissal_6[[#This Row],[Activity]],Types_of_Activity[Type of Activity],Types_of_Activity[Classification])=2,Term2_Early_Dismissal_6[[#This Row],[Elapsed]],0))</f>
        <v/>
      </c>
    </row>
    <row r="86" spans="2:42" x14ac:dyDescent="0.3">
      <c r="B86" s="135"/>
      <c r="C86" s="135"/>
      <c r="D86" s="102"/>
      <c r="E86" s="105" t="str">
        <f>IF(OR(ISBLANK(Term2_Early_Dismissal_1[[#This Row],[Start]]),ISBLANK(Term2_Early_Dismissal_1[[#This Row],[End]])),"",(Term2_Early_Dismissal_1[[#This Row],[End]]-Term2_Early_Dismissal_1[[#This Row],[Start]])*1440)</f>
        <v/>
      </c>
      <c r="F86" s="105" t="str">
        <f>IF(ISBLANK(Term2_Early_Dismissal_1[[#This Row],[Activity]]),"",IF(_xlfn.XLOOKUP(Term2_Early_Dismissal_1[[#This Row],[Activity]],Types_of_Activity[Type of Activity],Types_of_Activity[Classification])=1,Term2_Early_Dismissal_1[[#This Row],[Elapsed]],0))</f>
        <v/>
      </c>
      <c r="G86" s="105" t="str">
        <f>IF(ISBLANK(Term2_Early_Dismissal_1[[#This Row],[Activity]]),"",IF(_xlfn.XLOOKUP(Term2_Early_Dismissal_1[[#This Row],[Activity]],Types_of_Activity[Type of Activity],Types_of_Activity[Classification])=2,Term2_Early_Dismissal_1[[#This Row],[Elapsed]],0))</f>
        <v/>
      </c>
      <c r="H86"/>
      <c r="I86" s="135"/>
      <c r="J86" s="135"/>
      <c r="K86" s="102"/>
      <c r="L86" s="105" t="str">
        <f>IF(OR(ISBLANK(Term2_Early_Dismissal_2[[#This Row],[Start]]),ISBLANK(Term2_Early_Dismissal_2[[#This Row],[End]])),"",(Term2_Early_Dismissal_2[[#This Row],[End]]-Term2_Early_Dismissal_2[[#This Row],[Start]])*1440)</f>
        <v/>
      </c>
      <c r="M86" s="105" t="str">
        <f>IF(ISBLANK(Term2_Early_Dismissal_2[[#This Row],[Activity]]),"",IF(_xlfn.XLOOKUP(Term2_Early_Dismissal_2[[#This Row],[Activity]],Types_of_Activity[Type of Activity],Types_of_Activity[Classification])=1,Term2_Early_Dismissal_2[[#This Row],[Elapsed]],0))</f>
        <v/>
      </c>
      <c r="N86" s="105" t="str">
        <f>IF(ISBLANK(Term2_Early_Dismissal_2[[#This Row],[Activity]]),"",IF(_xlfn.XLOOKUP(Term2_Early_Dismissal_2[[#This Row],[Activity]],Types_of_Activity[Type of Activity],Types_of_Activity[Classification])=2,Term2_Early_Dismissal_2[[#This Row],[Elapsed]],0))</f>
        <v/>
      </c>
      <c r="O86"/>
      <c r="P86" s="135"/>
      <c r="Q86" s="135"/>
      <c r="R86" s="102"/>
      <c r="S86" s="105" t="str">
        <f>IF(OR(ISBLANK(Term2_Early_Dismissal_3[[#This Row],[Start]]),ISBLANK(Term2_Early_Dismissal_3[[#This Row],[End]])),"",(Term2_Early_Dismissal_3[[#This Row],[End]]-Term2_Early_Dismissal_3[[#This Row],[Start]])*1440)</f>
        <v/>
      </c>
      <c r="T86" s="105" t="str">
        <f>IF(ISBLANK(Term2_Early_Dismissal_3[[#This Row],[Activity]]),"",IF(_xlfn.XLOOKUP(Term2_Early_Dismissal_3[[#This Row],[Activity]],Types_of_Activity[Type of Activity],Types_of_Activity[Classification])=1,Term2_Early_Dismissal_3[[#This Row],[Elapsed]],0))</f>
        <v/>
      </c>
      <c r="U86" s="105" t="str">
        <f>IF(ISBLANK(Term2_Early_Dismissal_3[[#This Row],[Activity]]),"",IF(_xlfn.XLOOKUP(Term2_Early_Dismissal_3[[#This Row],[Activity]],Types_of_Activity[Type of Activity],Types_of_Activity[Classification])=2,Term2_Early_Dismissal_3[[#This Row],[Elapsed]],0))</f>
        <v/>
      </c>
      <c r="W86" s="135"/>
      <c r="X86" s="135"/>
      <c r="Y86" s="102"/>
      <c r="Z86" s="105" t="str">
        <f>IF(OR(ISBLANK(Term2_Early_Dismissal_4[[#This Row],[Start]]),ISBLANK(Term2_Early_Dismissal_4[[#This Row],[End]])),"",(Term2_Early_Dismissal_4[[#This Row],[End]]-Term2_Early_Dismissal_4[[#This Row],[Start]])*1440)</f>
        <v/>
      </c>
      <c r="AA86" s="105" t="str">
        <f>IF(ISBLANK(Term2_Early_Dismissal_4[[#This Row],[Activity]]),"",IF(_xlfn.XLOOKUP(Term2_Early_Dismissal_4[[#This Row],[Activity]],Types_of_Activity[Type of Activity],Types_of_Activity[Classification])=1,Term2_Early_Dismissal_4[[#This Row],[Elapsed]],0))</f>
        <v/>
      </c>
      <c r="AB86" s="105" t="str">
        <f>IF(ISBLANK(Term2_Early_Dismissal_4[[#This Row],[Activity]]),"",IF(_xlfn.XLOOKUP(Term2_Early_Dismissal_4[[#This Row],[Activity]],Types_of_Activity[Type of Activity],Types_of_Activity[Classification])=2,Term2_Early_Dismissal_4[[#This Row],[Elapsed]],0))</f>
        <v/>
      </c>
      <c r="AD86" s="135"/>
      <c r="AE86" s="135"/>
      <c r="AF86" s="102"/>
      <c r="AG86" s="105" t="str">
        <f>IF(OR(ISBLANK(Term2_Early_Dismissal_5[[#This Row],[Start]]),ISBLANK(Term2_Early_Dismissal_5[[#This Row],[End]])),"",(Term2_Early_Dismissal_5[[#This Row],[End]]-Term2_Early_Dismissal_5[[#This Row],[Start]])*1440)</f>
        <v/>
      </c>
      <c r="AH86" s="105" t="str">
        <f>IF(ISBLANK(Term2_Early_Dismissal_5[[#This Row],[Activity]]),"",IF(_xlfn.XLOOKUP(Term2_Early_Dismissal_5[[#This Row],[Activity]],Types_of_Activity[Type of Activity],Types_of_Activity[Classification])=1,Term2_Early_Dismissal_5[[#This Row],[Elapsed]],0))</f>
        <v/>
      </c>
      <c r="AI86" s="105" t="str">
        <f>IF(ISBLANK(Term2_Early_Dismissal_5[[#This Row],[Activity]]),"",IF(_xlfn.XLOOKUP(Term2_Early_Dismissal_5[[#This Row],[Activity]],Types_of_Activity[Type of Activity],Types_of_Activity[Classification])=2,Term2_Early_Dismissal_5[[#This Row],[Elapsed]],0))</f>
        <v/>
      </c>
      <c r="AK86" s="135"/>
      <c r="AL86" s="135"/>
      <c r="AM86" s="102"/>
      <c r="AN86" s="105" t="str">
        <f>IF(OR(ISBLANK(Term2_Early_Dismissal_6[[#This Row],[Start]]),ISBLANK(Term2_Early_Dismissal_6[[#This Row],[End]])),"",(Term2_Early_Dismissal_6[[#This Row],[End]]-Term2_Early_Dismissal_6[[#This Row],[Start]])*1440)</f>
        <v/>
      </c>
      <c r="AO86" s="105" t="str">
        <f>IF(ISBLANK(Term2_Early_Dismissal_6[[#This Row],[Activity]]),"",IF(_xlfn.XLOOKUP(Term2_Early_Dismissal_6[[#This Row],[Activity]],Types_of_Activity[Type of Activity],Types_of_Activity[Classification])=1,Term2_Early_Dismissal_6[[#This Row],[Elapsed]],0))</f>
        <v/>
      </c>
      <c r="AP86" s="105" t="str">
        <f>IF(ISBLANK(Term2_Early_Dismissal_6[[#This Row],[Activity]]),"",IF(_xlfn.XLOOKUP(Term2_Early_Dismissal_6[[#This Row],[Activity]],Types_of_Activity[Type of Activity],Types_of_Activity[Classification])=2,Term2_Early_Dismissal_6[[#This Row],[Elapsed]],0))</f>
        <v/>
      </c>
    </row>
    <row r="87" spans="2:42" x14ac:dyDescent="0.3">
      <c r="B87" s="135"/>
      <c r="C87" s="135"/>
      <c r="D87" s="102"/>
      <c r="E87" s="105" t="str">
        <f>IF(OR(ISBLANK(Term2_Early_Dismissal_1[[#This Row],[Start]]),ISBLANK(Term2_Early_Dismissal_1[[#This Row],[End]])),"",(Term2_Early_Dismissal_1[[#This Row],[End]]-Term2_Early_Dismissal_1[[#This Row],[Start]])*1440)</f>
        <v/>
      </c>
      <c r="F87" s="105" t="str">
        <f>IF(ISBLANK(Term2_Early_Dismissal_1[[#This Row],[Activity]]),"",IF(_xlfn.XLOOKUP(Term2_Early_Dismissal_1[[#This Row],[Activity]],Types_of_Activity[Type of Activity],Types_of_Activity[Classification])=1,Term2_Early_Dismissal_1[[#This Row],[Elapsed]],0))</f>
        <v/>
      </c>
      <c r="G87" s="105" t="str">
        <f>IF(ISBLANK(Term2_Early_Dismissal_1[[#This Row],[Activity]]),"",IF(_xlfn.XLOOKUP(Term2_Early_Dismissal_1[[#This Row],[Activity]],Types_of_Activity[Type of Activity],Types_of_Activity[Classification])=2,Term2_Early_Dismissal_1[[#This Row],[Elapsed]],0))</f>
        <v/>
      </c>
      <c r="H87"/>
      <c r="I87" s="135"/>
      <c r="J87" s="135"/>
      <c r="K87" s="102"/>
      <c r="L87" s="105" t="str">
        <f>IF(OR(ISBLANK(Term2_Early_Dismissal_2[[#This Row],[Start]]),ISBLANK(Term2_Early_Dismissal_2[[#This Row],[End]])),"",(Term2_Early_Dismissal_2[[#This Row],[End]]-Term2_Early_Dismissal_2[[#This Row],[Start]])*1440)</f>
        <v/>
      </c>
      <c r="M87" s="105" t="str">
        <f>IF(ISBLANK(Term2_Early_Dismissal_2[[#This Row],[Activity]]),"",IF(_xlfn.XLOOKUP(Term2_Early_Dismissal_2[[#This Row],[Activity]],Types_of_Activity[Type of Activity],Types_of_Activity[Classification])=1,Term2_Early_Dismissal_2[[#This Row],[Elapsed]],0))</f>
        <v/>
      </c>
      <c r="N87" s="105" t="str">
        <f>IF(ISBLANK(Term2_Early_Dismissal_2[[#This Row],[Activity]]),"",IF(_xlfn.XLOOKUP(Term2_Early_Dismissal_2[[#This Row],[Activity]],Types_of_Activity[Type of Activity],Types_of_Activity[Classification])=2,Term2_Early_Dismissal_2[[#This Row],[Elapsed]],0))</f>
        <v/>
      </c>
      <c r="O87"/>
      <c r="P87" s="135"/>
      <c r="Q87" s="135"/>
      <c r="R87" s="102"/>
      <c r="S87" s="105" t="str">
        <f>IF(OR(ISBLANK(Term2_Early_Dismissal_3[[#This Row],[Start]]),ISBLANK(Term2_Early_Dismissal_3[[#This Row],[End]])),"",(Term2_Early_Dismissal_3[[#This Row],[End]]-Term2_Early_Dismissal_3[[#This Row],[Start]])*1440)</f>
        <v/>
      </c>
      <c r="T87" s="105" t="str">
        <f>IF(ISBLANK(Term2_Early_Dismissal_3[[#This Row],[Activity]]),"",IF(_xlfn.XLOOKUP(Term2_Early_Dismissal_3[[#This Row],[Activity]],Types_of_Activity[Type of Activity],Types_of_Activity[Classification])=1,Term2_Early_Dismissal_3[[#This Row],[Elapsed]],0))</f>
        <v/>
      </c>
      <c r="U87" s="105" t="str">
        <f>IF(ISBLANK(Term2_Early_Dismissal_3[[#This Row],[Activity]]),"",IF(_xlfn.XLOOKUP(Term2_Early_Dismissal_3[[#This Row],[Activity]],Types_of_Activity[Type of Activity],Types_of_Activity[Classification])=2,Term2_Early_Dismissal_3[[#This Row],[Elapsed]],0))</f>
        <v/>
      </c>
      <c r="W87" s="135"/>
      <c r="X87" s="135"/>
      <c r="Y87" s="102"/>
      <c r="Z87" s="105" t="str">
        <f>IF(OR(ISBLANK(Term2_Early_Dismissal_4[[#This Row],[Start]]),ISBLANK(Term2_Early_Dismissal_4[[#This Row],[End]])),"",(Term2_Early_Dismissal_4[[#This Row],[End]]-Term2_Early_Dismissal_4[[#This Row],[Start]])*1440)</f>
        <v/>
      </c>
      <c r="AA87" s="105" t="str">
        <f>IF(ISBLANK(Term2_Early_Dismissal_4[[#This Row],[Activity]]),"",IF(_xlfn.XLOOKUP(Term2_Early_Dismissal_4[[#This Row],[Activity]],Types_of_Activity[Type of Activity],Types_of_Activity[Classification])=1,Term2_Early_Dismissal_4[[#This Row],[Elapsed]],0))</f>
        <v/>
      </c>
      <c r="AB87" s="105" t="str">
        <f>IF(ISBLANK(Term2_Early_Dismissal_4[[#This Row],[Activity]]),"",IF(_xlfn.XLOOKUP(Term2_Early_Dismissal_4[[#This Row],[Activity]],Types_of_Activity[Type of Activity],Types_of_Activity[Classification])=2,Term2_Early_Dismissal_4[[#This Row],[Elapsed]],0))</f>
        <v/>
      </c>
      <c r="AD87" s="135"/>
      <c r="AE87" s="135"/>
      <c r="AF87" s="102"/>
      <c r="AG87" s="105" t="str">
        <f>IF(OR(ISBLANK(Term2_Early_Dismissal_5[[#This Row],[Start]]),ISBLANK(Term2_Early_Dismissal_5[[#This Row],[End]])),"",(Term2_Early_Dismissal_5[[#This Row],[End]]-Term2_Early_Dismissal_5[[#This Row],[Start]])*1440)</f>
        <v/>
      </c>
      <c r="AH87" s="105" t="str">
        <f>IF(ISBLANK(Term2_Early_Dismissal_5[[#This Row],[Activity]]),"",IF(_xlfn.XLOOKUP(Term2_Early_Dismissal_5[[#This Row],[Activity]],Types_of_Activity[Type of Activity],Types_of_Activity[Classification])=1,Term2_Early_Dismissal_5[[#This Row],[Elapsed]],0))</f>
        <v/>
      </c>
      <c r="AI87" s="105" t="str">
        <f>IF(ISBLANK(Term2_Early_Dismissal_5[[#This Row],[Activity]]),"",IF(_xlfn.XLOOKUP(Term2_Early_Dismissal_5[[#This Row],[Activity]],Types_of_Activity[Type of Activity],Types_of_Activity[Classification])=2,Term2_Early_Dismissal_5[[#This Row],[Elapsed]],0))</f>
        <v/>
      </c>
      <c r="AK87" s="135"/>
      <c r="AL87" s="135"/>
      <c r="AM87" s="102"/>
      <c r="AN87" s="105" t="str">
        <f>IF(OR(ISBLANK(Term2_Early_Dismissal_6[[#This Row],[Start]]),ISBLANK(Term2_Early_Dismissal_6[[#This Row],[End]])),"",(Term2_Early_Dismissal_6[[#This Row],[End]]-Term2_Early_Dismissal_6[[#This Row],[Start]])*1440)</f>
        <v/>
      </c>
      <c r="AO87" s="105" t="str">
        <f>IF(ISBLANK(Term2_Early_Dismissal_6[[#This Row],[Activity]]),"",IF(_xlfn.XLOOKUP(Term2_Early_Dismissal_6[[#This Row],[Activity]],Types_of_Activity[Type of Activity],Types_of_Activity[Classification])=1,Term2_Early_Dismissal_6[[#This Row],[Elapsed]],0))</f>
        <v/>
      </c>
      <c r="AP87" s="105" t="str">
        <f>IF(ISBLANK(Term2_Early_Dismissal_6[[#This Row],[Activity]]),"",IF(_xlfn.XLOOKUP(Term2_Early_Dismissal_6[[#This Row],[Activity]],Types_of_Activity[Type of Activity],Types_of_Activity[Classification])=2,Term2_Early_Dismissal_6[[#This Row],[Elapsed]],0))</f>
        <v/>
      </c>
    </row>
    <row r="88" spans="2:42" x14ac:dyDescent="0.3">
      <c r="B88" s="135"/>
      <c r="C88" s="135"/>
      <c r="D88" s="102"/>
      <c r="E88" s="105" t="str">
        <f>IF(OR(ISBLANK(Term2_Early_Dismissal_1[[#This Row],[Start]]),ISBLANK(Term2_Early_Dismissal_1[[#This Row],[End]])),"",(Term2_Early_Dismissal_1[[#This Row],[End]]-Term2_Early_Dismissal_1[[#This Row],[Start]])*1440)</f>
        <v/>
      </c>
      <c r="F88" s="105" t="str">
        <f>IF(ISBLANK(Term2_Early_Dismissal_1[[#This Row],[Activity]]),"",IF(_xlfn.XLOOKUP(Term2_Early_Dismissal_1[[#This Row],[Activity]],Types_of_Activity[Type of Activity],Types_of_Activity[Classification])=1,Term2_Early_Dismissal_1[[#This Row],[Elapsed]],0))</f>
        <v/>
      </c>
      <c r="G88" s="105" t="str">
        <f>IF(ISBLANK(Term2_Early_Dismissal_1[[#This Row],[Activity]]),"",IF(_xlfn.XLOOKUP(Term2_Early_Dismissal_1[[#This Row],[Activity]],Types_of_Activity[Type of Activity],Types_of_Activity[Classification])=2,Term2_Early_Dismissal_1[[#This Row],[Elapsed]],0))</f>
        <v/>
      </c>
      <c r="H88"/>
      <c r="I88" s="135"/>
      <c r="J88" s="135"/>
      <c r="K88" s="102"/>
      <c r="L88" s="105" t="str">
        <f>IF(OR(ISBLANK(Term2_Early_Dismissal_2[[#This Row],[Start]]),ISBLANK(Term2_Early_Dismissal_2[[#This Row],[End]])),"",(Term2_Early_Dismissal_2[[#This Row],[End]]-Term2_Early_Dismissal_2[[#This Row],[Start]])*1440)</f>
        <v/>
      </c>
      <c r="M88" s="105" t="str">
        <f>IF(ISBLANK(Term2_Early_Dismissal_2[[#This Row],[Activity]]),"",IF(_xlfn.XLOOKUP(Term2_Early_Dismissal_2[[#This Row],[Activity]],Types_of_Activity[Type of Activity],Types_of_Activity[Classification])=1,Term2_Early_Dismissal_2[[#This Row],[Elapsed]],0))</f>
        <v/>
      </c>
      <c r="N88" s="105" t="str">
        <f>IF(ISBLANK(Term2_Early_Dismissal_2[[#This Row],[Activity]]),"",IF(_xlfn.XLOOKUP(Term2_Early_Dismissal_2[[#This Row],[Activity]],Types_of_Activity[Type of Activity],Types_of_Activity[Classification])=2,Term2_Early_Dismissal_2[[#This Row],[Elapsed]],0))</f>
        <v/>
      </c>
      <c r="O88"/>
      <c r="P88" s="135"/>
      <c r="Q88" s="135"/>
      <c r="R88" s="102"/>
      <c r="S88" s="105" t="str">
        <f>IF(OR(ISBLANK(Term2_Early_Dismissal_3[[#This Row],[Start]]),ISBLANK(Term2_Early_Dismissal_3[[#This Row],[End]])),"",(Term2_Early_Dismissal_3[[#This Row],[End]]-Term2_Early_Dismissal_3[[#This Row],[Start]])*1440)</f>
        <v/>
      </c>
      <c r="T88" s="105" t="str">
        <f>IF(ISBLANK(Term2_Early_Dismissal_3[[#This Row],[Activity]]),"",IF(_xlfn.XLOOKUP(Term2_Early_Dismissal_3[[#This Row],[Activity]],Types_of_Activity[Type of Activity],Types_of_Activity[Classification])=1,Term2_Early_Dismissal_3[[#This Row],[Elapsed]],0))</f>
        <v/>
      </c>
      <c r="U88" s="105" t="str">
        <f>IF(ISBLANK(Term2_Early_Dismissal_3[[#This Row],[Activity]]),"",IF(_xlfn.XLOOKUP(Term2_Early_Dismissal_3[[#This Row],[Activity]],Types_of_Activity[Type of Activity],Types_of_Activity[Classification])=2,Term2_Early_Dismissal_3[[#This Row],[Elapsed]],0))</f>
        <v/>
      </c>
      <c r="W88" s="135"/>
      <c r="X88" s="135"/>
      <c r="Y88" s="102"/>
      <c r="Z88" s="105" t="str">
        <f>IF(OR(ISBLANK(Term2_Early_Dismissal_4[[#This Row],[Start]]),ISBLANK(Term2_Early_Dismissal_4[[#This Row],[End]])),"",(Term2_Early_Dismissal_4[[#This Row],[End]]-Term2_Early_Dismissal_4[[#This Row],[Start]])*1440)</f>
        <v/>
      </c>
      <c r="AA88" s="105" t="str">
        <f>IF(ISBLANK(Term2_Early_Dismissal_4[[#This Row],[Activity]]),"",IF(_xlfn.XLOOKUP(Term2_Early_Dismissal_4[[#This Row],[Activity]],Types_of_Activity[Type of Activity],Types_of_Activity[Classification])=1,Term2_Early_Dismissal_4[[#This Row],[Elapsed]],0))</f>
        <v/>
      </c>
      <c r="AB88" s="105" t="str">
        <f>IF(ISBLANK(Term2_Early_Dismissal_4[[#This Row],[Activity]]),"",IF(_xlfn.XLOOKUP(Term2_Early_Dismissal_4[[#This Row],[Activity]],Types_of_Activity[Type of Activity],Types_of_Activity[Classification])=2,Term2_Early_Dismissal_4[[#This Row],[Elapsed]],0))</f>
        <v/>
      </c>
      <c r="AD88" s="135"/>
      <c r="AE88" s="135"/>
      <c r="AF88" s="102"/>
      <c r="AG88" s="105" t="str">
        <f>IF(OR(ISBLANK(Term2_Early_Dismissal_5[[#This Row],[Start]]),ISBLANK(Term2_Early_Dismissal_5[[#This Row],[End]])),"",(Term2_Early_Dismissal_5[[#This Row],[End]]-Term2_Early_Dismissal_5[[#This Row],[Start]])*1440)</f>
        <v/>
      </c>
      <c r="AH88" s="105" t="str">
        <f>IF(ISBLANK(Term2_Early_Dismissal_5[[#This Row],[Activity]]),"",IF(_xlfn.XLOOKUP(Term2_Early_Dismissal_5[[#This Row],[Activity]],Types_of_Activity[Type of Activity],Types_of_Activity[Classification])=1,Term2_Early_Dismissal_5[[#This Row],[Elapsed]],0))</f>
        <v/>
      </c>
      <c r="AI88" s="105" t="str">
        <f>IF(ISBLANK(Term2_Early_Dismissal_5[[#This Row],[Activity]]),"",IF(_xlfn.XLOOKUP(Term2_Early_Dismissal_5[[#This Row],[Activity]],Types_of_Activity[Type of Activity],Types_of_Activity[Classification])=2,Term2_Early_Dismissal_5[[#This Row],[Elapsed]],0))</f>
        <v/>
      </c>
      <c r="AK88" s="135"/>
      <c r="AL88" s="135"/>
      <c r="AM88" s="102"/>
      <c r="AN88" s="105" t="str">
        <f>IF(OR(ISBLANK(Term2_Early_Dismissal_6[[#This Row],[Start]]),ISBLANK(Term2_Early_Dismissal_6[[#This Row],[End]])),"",(Term2_Early_Dismissal_6[[#This Row],[End]]-Term2_Early_Dismissal_6[[#This Row],[Start]])*1440)</f>
        <v/>
      </c>
      <c r="AO88" s="105" t="str">
        <f>IF(ISBLANK(Term2_Early_Dismissal_6[[#This Row],[Activity]]),"",IF(_xlfn.XLOOKUP(Term2_Early_Dismissal_6[[#This Row],[Activity]],Types_of_Activity[Type of Activity],Types_of_Activity[Classification])=1,Term2_Early_Dismissal_6[[#This Row],[Elapsed]],0))</f>
        <v/>
      </c>
      <c r="AP88" s="105" t="str">
        <f>IF(ISBLANK(Term2_Early_Dismissal_6[[#This Row],[Activity]]),"",IF(_xlfn.XLOOKUP(Term2_Early_Dismissal_6[[#This Row],[Activity]],Types_of_Activity[Type of Activity],Types_of_Activity[Classification])=2,Term2_Early_Dismissal_6[[#This Row],[Elapsed]],0))</f>
        <v/>
      </c>
    </row>
    <row r="89" spans="2:42" x14ac:dyDescent="0.3">
      <c r="B89" s="135"/>
      <c r="C89" s="135"/>
      <c r="D89" s="102"/>
      <c r="E89" s="105" t="str">
        <f>IF(OR(ISBLANK(Term2_Early_Dismissal_1[[#This Row],[Start]]),ISBLANK(Term2_Early_Dismissal_1[[#This Row],[End]])),"",(Term2_Early_Dismissal_1[[#This Row],[End]]-Term2_Early_Dismissal_1[[#This Row],[Start]])*1440)</f>
        <v/>
      </c>
      <c r="F89" s="105" t="str">
        <f>IF(ISBLANK(Term2_Early_Dismissal_1[[#This Row],[Activity]]),"",IF(_xlfn.XLOOKUP(Term2_Early_Dismissal_1[[#This Row],[Activity]],Types_of_Activity[Type of Activity],Types_of_Activity[Classification])=1,Term2_Early_Dismissal_1[[#This Row],[Elapsed]],0))</f>
        <v/>
      </c>
      <c r="G89" s="105" t="str">
        <f>IF(ISBLANK(Term2_Early_Dismissal_1[[#This Row],[Activity]]),"",IF(_xlfn.XLOOKUP(Term2_Early_Dismissal_1[[#This Row],[Activity]],Types_of_Activity[Type of Activity],Types_of_Activity[Classification])=2,Term2_Early_Dismissal_1[[#This Row],[Elapsed]],0))</f>
        <v/>
      </c>
      <c r="H89"/>
      <c r="I89" s="135"/>
      <c r="J89" s="135"/>
      <c r="K89" s="102"/>
      <c r="L89" s="105" t="str">
        <f>IF(OR(ISBLANK(Term2_Early_Dismissal_2[[#This Row],[Start]]),ISBLANK(Term2_Early_Dismissal_2[[#This Row],[End]])),"",(Term2_Early_Dismissal_2[[#This Row],[End]]-Term2_Early_Dismissal_2[[#This Row],[Start]])*1440)</f>
        <v/>
      </c>
      <c r="M89" s="105" t="str">
        <f>IF(ISBLANK(Term2_Early_Dismissal_2[[#This Row],[Activity]]),"",IF(_xlfn.XLOOKUP(Term2_Early_Dismissal_2[[#This Row],[Activity]],Types_of_Activity[Type of Activity],Types_of_Activity[Classification])=1,Term2_Early_Dismissal_2[[#This Row],[Elapsed]],0))</f>
        <v/>
      </c>
      <c r="N89" s="105" t="str">
        <f>IF(ISBLANK(Term2_Early_Dismissal_2[[#This Row],[Activity]]),"",IF(_xlfn.XLOOKUP(Term2_Early_Dismissal_2[[#This Row],[Activity]],Types_of_Activity[Type of Activity],Types_of_Activity[Classification])=2,Term2_Early_Dismissal_2[[#This Row],[Elapsed]],0))</f>
        <v/>
      </c>
      <c r="O89"/>
      <c r="P89" s="135"/>
      <c r="Q89" s="135"/>
      <c r="R89" s="102"/>
      <c r="S89" s="105" t="str">
        <f>IF(OR(ISBLANK(Term2_Early_Dismissal_3[[#This Row],[Start]]),ISBLANK(Term2_Early_Dismissal_3[[#This Row],[End]])),"",(Term2_Early_Dismissal_3[[#This Row],[End]]-Term2_Early_Dismissal_3[[#This Row],[Start]])*1440)</f>
        <v/>
      </c>
      <c r="T89" s="105" t="str">
        <f>IF(ISBLANK(Term2_Early_Dismissal_3[[#This Row],[Activity]]),"",IF(_xlfn.XLOOKUP(Term2_Early_Dismissal_3[[#This Row],[Activity]],Types_of_Activity[Type of Activity],Types_of_Activity[Classification])=1,Term2_Early_Dismissal_3[[#This Row],[Elapsed]],0))</f>
        <v/>
      </c>
      <c r="U89" s="105" t="str">
        <f>IF(ISBLANK(Term2_Early_Dismissal_3[[#This Row],[Activity]]),"",IF(_xlfn.XLOOKUP(Term2_Early_Dismissal_3[[#This Row],[Activity]],Types_of_Activity[Type of Activity],Types_of_Activity[Classification])=2,Term2_Early_Dismissal_3[[#This Row],[Elapsed]],0))</f>
        <v/>
      </c>
      <c r="W89" s="135"/>
      <c r="X89" s="135"/>
      <c r="Y89" s="102"/>
      <c r="Z89" s="105" t="str">
        <f>IF(OR(ISBLANK(Term2_Early_Dismissal_4[[#This Row],[Start]]),ISBLANK(Term2_Early_Dismissal_4[[#This Row],[End]])),"",(Term2_Early_Dismissal_4[[#This Row],[End]]-Term2_Early_Dismissal_4[[#This Row],[Start]])*1440)</f>
        <v/>
      </c>
      <c r="AA89" s="105" t="str">
        <f>IF(ISBLANK(Term2_Early_Dismissal_4[[#This Row],[Activity]]),"",IF(_xlfn.XLOOKUP(Term2_Early_Dismissal_4[[#This Row],[Activity]],Types_of_Activity[Type of Activity],Types_of_Activity[Classification])=1,Term2_Early_Dismissal_4[[#This Row],[Elapsed]],0))</f>
        <v/>
      </c>
      <c r="AB89" s="105" t="str">
        <f>IF(ISBLANK(Term2_Early_Dismissal_4[[#This Row],[Activity]]),"",IF(_xlfn.XLOOKUP(Term2_Early_Dismissal_4[[#This Row],[Activity]],Types_of_Activity[Type of Activity],Types_of_Activity[Classification])=2,Term2_Early_Dismissal_4[[#This Row],[Elapsed]],0))</f>
        <v/>
      </c>
      <c r="AD89" s="135"/>
      <c r="AE89" s="135"/>
      <c r="AF89" s="102"/>
      <c r="AG89" s="105" t="str">
        <f>IF(OR(ISBLANK(Term2_Early_Dismissal_5[[#This Row],[Start]]),ISBLANK(Term2_Early_Dismissal_5[[#This Row],[End]])),"",(Term2_Early_Dismissal_5[[#This Row],[End]]-Term2_Early_Dismissal_5[[#This Row],[Start]])*1440)</f>
        <v/>
      </c>
      <c r="AH89" s="105" t="str">
        <f>IF(ISBLANK(Term2_Early_Dismissal_5[[#This Row],[Activity]]),"",IF(_xlfn.XLOOKUP(Term2_Early_Dismissal_5[[#This Row],[Activity]],Types_of_Activity[Type of Activity],Types_of_Activity[Classification])=1,Term2_Early_Dismissal_5[[#This Row],[Elapsed]],0))</f>
        <v/>
      </c>
      <c r="AI89" s="105" t="str">
        <f>IF(ISBLANK(Term2_Early_Dismissal_5[[#This Row],[Activity]]),"",IF(_xlfn.XLOOKUP(Term2_Early_Dismissal_5[[#This Row],[Activity]],Types_of_Activity[Type of Activity],Types_of_Activity[Classification])=2,Term2_Early_Dismissal_5[[#This Row],[Elapsed]],0))</f>
        <v/>
      </c>
      <c r="AK89" s="135"/>
      <c r="AL89" s="135"/>
      <c r="AM89" s="102"/>
      <c r="AN89" s="105" t="str">
        <f>IF(OR(ISBLANK(Term2_Early_Dismissal_6[[#This Row],[Start]]),ISBLANK(Term2_Early_Dismissal_6[[#This Row],[End]])),"",(Term2_Early_Dismissal_6[[#This Row],[End]]-Term2_Early_Dismissal_6[[#This Row],[Start]])*1440)</f>
        <v/>
      </c>
      <c r="AO89" s="105" t="str">
        <f>IF(ISBLANK(Term2_Early_Dismissal_6[[#This Row],[Activity]]),"",IF(_xlfn.XLOOKUP(Term2_Early_Dismissal_6[[#This Row],[Activity]],Types_of_Activity[Type of Activity],Types_of_Activity[Classification])=1,Term2_Early_Dismissal_6[[#This Row],[Elapsed]],0))</f>
        <v/>
      </c>
      <c r="AP89" s="105" t="str">
        <f>IF(ISBLANK(Term2_Early_Dismissal_6[[#This Row],[Activity]]),"",IF(_xlfn.XLOOKUP(Term2_Early_Dismissal_6[[#This Row],[Activity]],Types_of_Activity[Type of Activity],Types_of_Activity[Classification])=2,Term2_Early_Dismissal_6[[#This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6" x14ac:dyDescent="0.55000000000000004">
      <c r="B97" s="104" t="s">
        <v>25</v>
      </c>
      <c r="F97" s="105"/>
      <c r="G97" s="105"/>
      <c r="H97"/>
      <c r="I97" s="104" t="s">
        <v>26</v>
      </c>
      <c r="M97" s="105"/>
      <c r="N97" s="105"/>
      <c r="O97"/>
      <c r="P97" s="104" t="s">
        <v>27</v>
      </c>
      <c r="T97" s="105"/>
      <c r="U97" s="105"/>
    </row>
    <row r="98" spans="2:21" ht="28.8" x14ac:dyDescent="0.3">
      <c r="B98" s="119" t="s">
        <v>16</v>
      </c>
      <c r="C98" s="119" t="s">
        <v>17</v>
      </c>
      <c r="D98" s="119" t="s">
        <v>19</v>
      </c>
      <c r="E98" s="119" t="s">
        <v>18</v>
      </c>
      <c r="F98" s="119" t="s">
        <v>20</v>
      </c>
      <c r="G98" s="120" t="s">
        <v>4075</v>
      </c>
      <c r="H98"/>
      <c r="I98" s="119" t="s">
        <v>16</v>
      </c>
      <c r="J98" s="119" t="s">
        <v>17</v>
      </c>
      <c r="K98" s="119" t="s">
        <v>19</v>
      </c>
      <c r="L98" s="119" t="s">
        <v>18</v>
      </c>
      <c r="M98" s="119" t="s">
        <v>20</v>
      </c>
      <c r="N98" s="120" t="s">
        <v>4075</v>
      </c>
      <c r="O98"/>
      <c r="P98" s="119" t="s">
        <v>16</v>
      </c>
      <c r="Q98" s="119" t="s">
        <v>17</v>
      </c>
      <c r="R98" s="119" t="s">
        <v>19</v>
      </c>
      <c r="S98" s="119" t="s">
        <v>18</v>
      </c>
      <c r="T98" s="119" t="s">
        <v>20</v>
      </c>
      <c r="U98" s="120" t="s">
        <v>4075</v>
      </c>
    </row>
    <row r="99" spans="2:21" x14ac:dyDescent="0.3">
      <c r="B99" s="135"/>
      <c r="C99" s="135"/>
      <c r="D99" s="102"/>
      <c r="E99" s="105" t="str">
        <f>IF(OR(ISBLANK(Term2_Special_Day_1[[#This Row],[Start]]),ISBLANK(Term2_Special_Day_1[[#This Row],[End]])),"",(Term2_Special_Day_1[[#This Row],[End]]-Term2_Special_Day_1[[#This Row],[Start]])*1440)</f>
        <v/>
      </c>
      <c r="F99" s="105" t="str">
        <f>IF(ISBLANK(Term2_Special_Day_1[[#This Row],[Activity]]),"",IF(_xlfn.XLOOKUP(Term2_Special_Day_1[[#This Row],[Activity]],Types_of_Activity[Type of Activity],Types_of_Activity[Classification])=1,Term2_Special_Day_1[[#This Row],[Elapsed]],0))</f>
        <v/>
      </c>
      <c r="G99" s="105" t="str">
        <f>IF(ISBLANK(Term2_Special_Day_1[[#This Row],[Activity]]),"",IF(_xlfn.XLOOKUP(Term2_Special_Day_1[[#This Row],[Activity]],Types_of_Activity[Type of Activity],Types_of_Activity[Classification])=2,Term2_Special_Day_1[[#This Row],[Elapsed]],0))</f>
        <v/>
      </c>
      <c r="H99"/>
      <c r="I99" s="135"/>
      <c r="J99" s="135"/>
      <c r="K99" s="102"/>
      <c r="L99" s="105" t="str">
        <f>IF(OR(ISBLANK(Term2_Special_Day_2[[#This Row],[Start]]),ISBLANK(Term2_Special_Day_2[[#This Row],[End]])),"",(Term2_Special_Day_2[[#This Row],[End]]-Term2_Special_Day_2[[#This Row],[Start]])*1440)</f>
        <v/>
      </c>
      <c r="M99" s="105" t="str">
        <f>IF(ISBLANK(Term2_Special_Day_2[[#This Row],[Activity]]),"",IF(_xlfn.XLOOKUP(Term2_Special_Day_2[[#This Row],[Activity]],Types_of_Activity[Type of Activity],Types_of_Activity[Classification])=1,Term2_Special_Day_2[[#This Row],[Elapsed]],0))</f>
        <v/>
      </c>
      <c r="N99" s="105" t="str">
        <f>IF(ISBLANK(Term2_Special_Day_2[[#This Row],[Activity]]),"",IF(_xlfn.XLOOKUP(Term2_Special_Day_2[[#This Row],[Activity]],Types_of_Activity[Type of Activity],Types_of_Activity[Classification])=2,Term2_Special_Day_2[[#This Row],[Elapsed]],0))</f>
        <v/>
      </c>
      <c r="O99"/>
      <c r="P99" s="135"/>
      <c r="Q99" s="135"/>
      <c r="R99" s="102"/>
      <c r="S99" s="105" t="str">
        <f>IF(OR(ISBLANK(Term2_Special_Day_3[[#This Row],[Start]]),ISBLANK(Term2_Special_Day_3[[#This Row],[End]])),"",(Term2_Special_Day_3[[#This Row],[End]]-Term2_Special_Day_3[[#This Row],[Start]])*1440)</f>
        <v/>
      </c>
      <c r="T99" s="105" t="str">
        <f>IF(ISBLANK(Term2_Special_Day_3[[#This Row],[Activity]]),"",IF(_xlfn.XLOOKUP(Term2_Special_Day_3[[#This Row],[Activity]],Types_of_Activity[Type of Activity],Types_of_Activity[Classification])=1,Term2_Special_Day_3[[#This Row],[Elapsed]],0))</f>
        <v/>
      </c>
      <c r="U99" s="105" t="str">
        <f>IF(ISBLANK(Term2_Special_Day_3[[#This Row],[Activity]]),"",IF(_xlfn.XLOOKUP(Term2_Special_Day_3[[#This Row],[Activity]],Types_of_Activity[Type of Activity],Types_of_Activity[Classification])=2,Term2_Special_Day_3[[#This Row],[Elapsed]],0))</f>
        <v/>
      </c>
    </row>
    <row r="100" spans="2:21" x14ac:dyDescent="0.3">
      <c r="B100" s="135"/>
      <c r="C100" s="135"/>
      <c r="D100" s="102"/>
      <c r="E100" s="105" t="str">
        <f>IF(OR(ISBLANK(Term2_Special_Day_1[[#This Row],[Start]]),ISBLANK(Term2_Special_Day_1[[#This Row],[End]])),"",(Term2_Special_Day_1[[#This Row],[End]]-Term2_Special_Day_1[[#This Row],[Start]])*1440)</f>
        <v/>
      </c>
      <c r="F100" s="105" t="str">
        <f>IF(ISBLANK(Term2_Special_Day_1[[#This Row],[Activity]]),"",IF(_xlfn.XLOOKUP(Term2_Special_Day_1[[#This Row],[Activity]],Types_of_Activity[Type of Activity],Types_of_Activity[Classification])=1,Term2_Special_Day_1[[#This Row],[Elapsed]],0))</f>
        <v/>
      </c>
      <c r="G100" s="105" t="str">
        <f>IF(ISBLANK(Term2_Special_Day_1[[#This Row],[Activity]]),"",IF(_xlfn.XLOOKUP(Term2_Special_Day_1[[#This Row],[Activity]],Types_of_Activity[Type of Activity],Types_of_Activity[Classification])=2,Term2_Special_Day_1[[#This Row],[Elapsed]],0))</f>
        <v/>
      </c>
      <c r="H100"/>
      <c r="I100" s="135"/>
      <c r="J100" s="135"/>
      <c r="K100" s="102"/>
      <c r="L100" s="105" t="str">
        <f>IF(OR(ISBLANK(Term2_Special_Day_2[[#This Row],[Start]]),ISBLANK(Term2_Special_Day_2[[#This Row],[End]])),"",(Term2_Special_Day_2[[#This Row],[End]]-Term2_Special_Day_2[[#This Row],[Start]])*1440)</f>
        <v/>
      </c>
      <c r="M100" s="105" t="str">
        <f>IF(ISBLANK(Term2_Special_Day_2[[#This Row],[Activity]]),"",IF(_xlfn.XLOOKUP(Term2_Special_Day_2[[#This Row],[Activity]],Types_of_Activity[Type of Activity],Types_of_Activity[Classification])=1,Term2_Special_Day_2[[#This Row],[Elapsed]],0))</f>
        <v/>
      </c>
      <c r="N100" s="105" t="str">
        <f>IF(ISBLANK(Term2_Special_Day_2[[#This Row],[Activity]]),"",IF(_xlfn.XLOOKUP(Term2_Special_Day_2[[#This Row],[Activity]],Types_of_Activity[Type of Activity],Types_of_Activity[Classification])=2,Term2_Special_Day_2[[#This Row],[Elapsed]],0))</f>
        <v/>
      </c>
      <c r="O100"/>
      <c r="P100" s="135"/>
      <c r="Q100" s="135"/>
      <c r="R100" s="102"/>
      <c r="S100" s="105" t="str">
        <f>IF(OR(ISBLANK(Term2_Special_Day_3[[#This Row],[Start]]),ISBLANK(Term2_Special_Day_3[[#This Row],[End]])),"",(Term2_Special_Day_3[[#This Row],[End]]-Term2_Special_Day_3[[#This Row],[Start]])*1440)</f>
        <v/>
      </c>
      <c r="T100" s="105" t="str">
        <f>IF(ISBLANK(Term2_Special_Day_3[[#This Row],[Activity]]),"",IF(_xlfn.XLOOKUP(Term2_Special_Day_3[[#This Row],[Activity]],Types_of_Activity[Type of Activity],Types_of_Activity[Classification])=1,Term2_Special_Day_3[[#This Row],[Elapsed]],0))</f>
        <v/>
      </c>
      <c r="U100" s="105" t="str">
        <f>IF(ISBLANK(Term2_Special_Day_3[[#This Row],[Activity]]),"",IF(_xlfn.XLOOKUP(Term2_Special_Day_3[[#This Row],[Activity]],Types_of_Activity[Type of Activity],Types_of_Activity[Classification])=2,Term2_Special_Day_3[[#This Row],[Elapsed]],0))</f>
        <v/>
      </c>
    </row>
    <row r="101" spans="2:21" x14ac:dyDescent="0.3">
      <c r="B101" s="135"/>
      <c r="C101" s="135"/>
      <c r="D101" s="102"/>
      <c r="E101" s="105" t="str">
        <f>IF(OR(ISBLANK(Term2_Special_Day_1[[#This Row],[Start]]),ISBLANK(Term2_Special_Day_1[[#This Row],[End]])),"",(Term2_Special_Day_1[[#This Row],[End]]-Term2_Special_Day_1[[#This Row],[Start]])*1440)</f>
        <v/>
      </c>
      <c r="F101" s="105" t="str">
        <f>IF(ISBLANK(Term2_Special_Day_1[[#This Row],[Activity]]),"",IF(_xlfn.XLOOKUP(Term2_Special_Day_1[[#This Row],[Activity]],Types_of_Activity[Type of Activity],Types_of_Activity[Classification])=1,Term2_Special_Day_1[[#This Row],[Elapsed]],0))</f>
        <v/>
      </c>
      <c r="G101" s="105" t="str">
        <f>IF(ISBLANK(Term2_Special_Day_1[[#This Row],[Activity]]),"",IF(_xlfn.XLOOKUP(Term2_Special_Day_1[[#This Row],[Activity]],Types_of_Activity[Type of Activity],Types_of_Activity[Classification])=2,Term2_Special_Day_1[[#This Row],[Elapsed]],0))</f>
        <v/>
      </c>
      <c r="H101"/>
      <c r="I101" s="135"/>
      <c r="J101" s="135"/>
      <c r="K101" s="102"/>
      <c r="L101" s="105" t="str">
        <f>IF(OR(ISBLANK(Term2_Special_Day_2[[#This Row],[Start]]),ISBLANK(Term2_Special_Day_2[[#This Row],[End]])),"",(Term2_Special_Day_2[[#This Row],[End]]-Term2_Special_Day_2[[#This Row],[Start]])*1440)</f>
        <v/>
      </c>
      <c r="M101" s="105" t="str">
        <f>IF(ISBLANK(Term2_Special_Day_2[[#This Row],[Activity]]),"",IF(_xlfn.XLOOKUP(Term2_Special_Day_2[[#This Row],[Activity]],Types_of_Activity[Type of Activity],Types_of_Activity[Classification])=1,Term2_Special_Day_2[[#This Row],[Elapsed]],0))</f>
        <v/>
      </c>
      <c r="N101" s="105" t="str">
        <f>IF(ISBLANK(Term2_Special_Day_2[[#This Row],[Activity]]),"",IF(_xlfn.XLOOKUP(Term2_Special_Day_2[[#This Row],[Activity]],Types_of_Activity[Type of Activity],Types_of_Activity[Classification])=2,Term2_Special_Day_2[[#This Row],[Elapsed]],0))</f>
        <v/>
      </c>
      <c r="O101"/>
      <c r="P101" s="135"/>
      <c r="Q101" s="135"/>
      <c r="R101" s="102"/>
      <c r="S101" s="105" t="str">
        <f>IF(OR(ISBLANK(Term2_Special_Day_3[[#This Row],[Start]]),ISBLANK(Term2_Special_Day_3[[#This Row],[End]])),"",(Term2_Special_Day_3[[#This Row],[End]]-Term2_Special_Day_3[[#This Row],[Start]])*1440)</f>
        <v/>
      </c>
      <c r="T101" s="105" t="str">
        <f>IF(ISBLANK(Term2_Special_Day_3[[#This Row],[Activity]]),"",IF(_xlfn.XLOOKUP(Term2_Special_Day_3[[#This Row],[Activity]],Types_of_Activity[Type of Activity],Types_of_Activity[Classification])=1,Term2_Special_Day_3[[#This Row],[Elapsed]],0))</f>
        <v/>
      </c>
      <c r="U101" s="105" t="str">
        <f>IF(ISBLANK(Term2_Special_Day_3[[#This Row],[Activity]]),"",IF(_xlfn.XLOOKUP(Term2_Special_Day_3[[#This Row],[Activity]],Types_of_Activity[Type of Activity],Types_of_Activity[Classification])=2,Term2_Special_Day_3[[#This Row],[Elapsed]],0))</f>
        <v/>
      </c>
    </row>
    <row r="102" spans="2:21" x14ac:dyDescent="0.3">
      <c r="B102" s="135"/>
      <c r="C102" s="135"/>
      <c r="D102" s="102"/>
      <c r="E102" s="105" t="str">
        <f>IF(OR(ISBLANK(Term2_Special_Day_1[[#This Row],[Start]]),ISBLANK(Term2_Special_Day_1[[#This Row],[End]])),"",(Term2_Special_Day_1[[#This Row],[End]]-Term2_Special_Day_1[[#This Row],[Start]])*1440)</f>
        <v/>
      </c>
      <c r="F102" s="105" t="str">
        <f>IF(ISBLANK(Term2_Special_Day_1[[#This Row],[Activity]]),"",IF(_xlfn.XLOOKUP(Term2_Special_Day_1[[#This Row],[Activity]],Types_of_Activity[Type of Activity],Types_of_Activity[Classification])=1,Term2_Special_Day_1[[#This Row],[Elapsed]],0))</f>
        <v/>
      </c>
      <c r="G102" s="105" t="str">
        <f>IF(ISBLANK(Term2_Special_Day_1[[#This Row],[Activity]]),"",IF(_xlfn.XLOOKUP(Term2_Special_Day_1[[#This Row],[Activity]],Types_of_Activity[Type of Activity],Types_of_Activity[Classification])=2,Term2_Special_Day_1[[#This Row],[Elapsed]],0))</f>
        <v/>
      </c>
      <c r="H102"/>
      <c r="I102" s="135"/>
      <c r="J102" s="135"/>
      <c r="K102" s="102"/>
      <c r="L102" s="105" t="str">
        <f>IF(OR(ISBLANK(Term2_Special_Day_2[[#This Row],[Start]]),ISBLANK(Term2_Special_Day_2[[#This Row],[End]])),"",(Term2_Special_Day_2[[#This Row],[End]]-Term2_Special_Day_2[[#This Row],[Start]])*1440)</f>
        <v/>
      </c>
      <c r="M102" s="105" t="str">
        <f>IF(ISBLANK(Term2_Special_Day_2[[#This Row],[Activity]]),"",IF(_xlfn.XLOOKUP(Term2_Special_Day_2[[#This Row],[Activity]],Types_of_Activity[Type of Activity],Types_of_Activity[Classification])=1,Term2_Special_Day_2[[#This Row],[Elapsed]],0))</f>
        <v/>
      </c>
      <c r="N102" s="105" t="str">
        <f>IF(ISBLANK(Term2_Special_Day_2[[#This Row],[Activity]]),"",IF(_xlfn.XLOOKUP(Term2_Special_Day_2[[#This Row],[Activity]],Types_of_Activity[Type of Activity],Types_of_Activity[Classification])=2,Term2_Special_Day_2[[#This Row],[Elapsed]],0))</f>
        <v/>
      </c>
      <c r="O102"/>
      <c r="P102" s="135"/>
      <c r="Q102" s="135"/>
      <c r="R102" s="102"/>
      <c r="S102" s="105" t="str">
        <f>IF(OR(ISBLANK(Term2_Special_Day_3[[#This Row],[Start]]),ISBLANK(Term2_Special_Day_3[[#This Row],[End]])),"",(Term2_Special_Day_3[[#This Row],[End]]-Term2_Special_Day_3[[#This Row],[Start]])*1440)</f>
        <v/>
      </c>
      <c r="T102" s="105" t="str">
        <f>IF(ISBLANK(Term2_Special_Day_3[[#This Row],[Activity]]),"",IF(_xlfn.XLOOKUP(Term2_Special_Day_3[[#This Row],[Activity]],Types_of_Activity[Type of Activity],Types_of_Activity[Classification])=1,Term2_Special_Day_3[[#This Row],[Elapsed]],0))</f>
        <v/>
      </c>
      <c r="U102" s="105" t="str">
        <f>IF(ISBLANK(Term2_Special_Day_3[[#This Row],[Activity]]),"",IF(_xlfn.XLOOKUP(Term2_Special_Day_3[[#This Row],[Activity]],Types_of_Activity[Type of Activity],Types_of_Activity[Classification])=2,Term2_Special_Day_3[[#This Row],[Elapsed]],0))</f>
        <v/>
      </c>
    </row>
    <row r="103" spans="2:21" x14ac:dyDescent="0.3">
      <c r="B103" s="135"/>
      <c r="C103" s="135"/>
      <c r="D103" s="102"/>
      <c r="E103" s="105" t="str">
        <f>IF(OR(ISBLANK(Term2_Special_Day_1[[#This Row],[Start]]),ISBLANK(Term2_Special_Day_1[[#This Row],[End]])),"",(Term2_Special_Day_1[[#This Row],[End]]-Term2_Special_Day_1[[#This Row],[Start]])*1440)</f>
        <v/>
      </c>
      <c r="F103" s="105" t="str">
        <f>IF(ISBLANK(Term2_Special_Day_1[[#This Row],[Activity]]),"",IF(_xlfn.XLOOKUP(Term2_Special_Day_1[[#This Row],[Activity]],Types_of_Activity[Type of Activity],Types_of_Activity[Classification])=1,Term2_Special_Day_1[[#This Row],[Elapsed]],0))</f>
        <v/>
      </c>
      <c r="G103" s="105" t="str">
        <f>IF(ISBLANK(Term2_Special_Day_1[[#This Row],[Activity]]),"",IF(_xlfn.XLOOKUP(Term2_Special_Day_1[[#This Row],[Activity]],Types_of_Activity[Type of Activity],Types_of_Activity[Classification])=2,Term2_Special_Day_1[[#This Row],[Elapsed]],0))</f>
        <v/>
      </c>
      <c r="H103"/>
      <c r="I103" s="135"/>
      <c r="J103" s="135"/>
      <c r="K103" s="102"/>
      <c r="L103" s="105" t="str">
        <f>IF(OR(ISBLANK(Term2_Special_Day_2[[#This Row],[Start]]),ISBLANK(Term2_Special_Day_2[[#This Row],[End]])),"",(Term2_Special_Day_2[[#This Row],[End]]-Term2_Special_Day_2[[#This Row],[Start]])*1440)</f>
        <v/>
      </c>
      <c r="M103" s="105" t="str">
        <f>IF(ISBLANK(Term2_Special_Day_2[[#This Row],[Activity]]),"",IF(_xlfn.XLOOKUP(Term2_Special_Day_2[[#This Row],[Activity]],Types_of_Activity[Type of Activity],Types_of_Activity[Classification])=1,Term2_Special_Day_2[[#This Row],[Elapsed]],0))</f>
        <v/>
      </c>
      <c r="N103" s="105" t="str">
        <f>IF(ISBLANK(Term2_Special_Day_2[[#This Row],[Activity]]),"",IF(_xlfn.XLOOKUP(Term2_Special_Day_2[[#This Row],[Activity]],Types_of_Activity[Type of Activity],Types_of_Activity[Classification])=2,Term2_Special_Day_2[[#This Row],[Elapsed]],0))</f>
        <v/>
      </c>
      <c r="O103"/>
      <c r="P103" s="135"/>
      <c r="Q103" s="135"/>
      <c r="R103" s="102"/>
      <c r="S103" s="105" t="str">
        <f>IF(OR(ISBLANK(Term2_Special_Day_3[[#This Row],[Start]]),ISBLANK(Term2_Special_Day_3[[#This Row],[End]])),"",(Term2_Special_Day_3[[#This Row],[End]]-Term2_Special_Day_3[[#This Row],[Start]])*1440)</f>
        <v/>
      </c>
      <c r="T103" s="105" t="str">
        <f>IF(ISBLANK(Term2_Special_Day_3[[#This Row],[Activity]]),"",IF(_xlfn.XLOOKUP(Term2_Special_Day_3[[#This Row],[Activity]],Types_of_Activity[Type of Activity],Types_of_Activity[Classification])=1,Term2_Special_Day_3[[#This Row],[Elapsed]],0))</f>
        <v/>
      </c>
      <c r="U103" s="105" t="str">
        <f>IF(ISBLANK(Term2_Special_Day_3[[#This Row],[Activity]]),"",IF(_xlfn.XLOOKUP(Term2_Special_Day_3[[#This Row],[Activity]],Types_of_Activity[Type of Activity],Types_of_Activity[Classification])=2,Term2_Special_Day_3[[#This Row],[Elapsed]],0))</f>
        <v/>
      </c>
    </row>
    <row r="104" spans="2:21" x14ac:dyDescent="0.3">
      <c r="B104" s="135"/>
      <c r="C104" s="135"/>
      <c r="D104" s="102"/>
      <c r="E104" s="105" t="str">
        <f>IF(OR(ISBLANK(Term2_Special_Day_1[[#This Row],[Start]]),ISBLANK(Term2_Special_Day_1[[#This Row],[End]])),"",(Term2_Special_Day_1[[#This Row],[End]]-Term2_Special_Day_1[[#This Row],[Start]])*1440)</f>
        <v/>
      </c>
      <c r="F104" s="105" t="str">
        <f>IF(ISBLANK(Term2_Special_Day_1[[#This Row],[Activity]]),"",IF(_xlfn.XLOOKUP(Term2_Special_Day_1[[#This Row],[Activity]],Types_of_Activity[Type of Activity],Types_of_Activity[Classification])=1,Term2_Special_Day_1[[#This Row],[Elapsed]],0))</f>
        <v/>
      </c>
      <c r="G104" s="105" t="str">
        <f>IF(ISBLANK(Term2_Special_Day_1[[#This Row],[Activity]]),"",IF(_xlfn.XLOOKUP(Term2_Special_Day_1[[#This Row],[Activity]],Types_of_Activity[Type of Activity],Types_of_Activity[Classification])=2,Term2_Special_Day_1[[#This Row],[Elapsed]],0))</f>
        <v/>
      </c>
      <c r="H104"/>
      <c r="I104" s="135"/>
      <c r="J104" s="135"/>
      <c r="K104" s="102"/>
      <c r="L104" s="105" t="str">
        <f>IF(OR(ISBLANK(Term2_Special_Day_2[[#This Row],[Start]]),ISBLANK(Term2_Special_Day_2[[#This Row],[End]])),"",(Term2_Special_Day_2[[#This Row],[End]]-Term2_Special_Day_2[[#This Row],[Start]])*1440)</f>
        <v/>
      </c>
      <c r="M104" s="105" t="str">
        <f>IF(ISBLANK(Term2_Special_Day_2[[#This Row],[Activity]]),"",IF(_xlfn.XLOOKUP(Term2_Special_Day_2[[#This Row],[Activity]],Types_of_Activity[Type of Activity],Types_of_Activity[Classification])=1,Term2_Special_Day_2[[#This Row],[Elapsed]],0))</f>
        <v/>
      </c>
      <c r="N104" s="105" t="str">
        <f>IF(ISBLANK(Term2_Special_Day_2[[#This Row],[Activity]]),"",IF(_xlfn.XLOOKUP(Term2_Special_Day_2[[#This Row],[Activity]],Types_of_Activity[Type of Activity],Types_of_Activity[Classification])=2,Term2_Special_Day_2[[#This Row],[Elapsed]],0))</f>
        <v/>
      </c>
      <c r="O104"/>
      <c r="P104" s="135"/>
      <c r="Q104" s="135"/>
      <c r="R104" s="102"/>
      <c r="S104" s="105" t="str">
        <f>IF(OR(ISBLANK(Term2_Special_Day_3[[#This Row],[Start]]),ISBLANK(Term2_Special_Day_3[[#This Row],[End]])),"",(Term2_Special_Day_3[[#This Row],[End]]-Term2_Special_Day_3[[#This Row],[Start]])*1440)</f>
        <v/>
      </c>
      <c r="T104" s="105" t="str">
        <f>IF(ISBLANK(Term2_Special_Day_3[[#This Row],[Activity]]),"",IF(_xlfn.XLOOKUP(Term2_Special_Day_3[[#This Row],[Activity]],Types_of_Activity[Type of Activity],Types_of_Activity[Classification])=1,Term2_Special_Day_3[[#This Row],[Elapsed]],0))</f>
        <v/>
      </c>
      <c r="U104" s="105" t="str">
        <f>IF(ISBLANK(Term2_Special_Day_3[[#This Row],[Activity]]),"",IF(_xlfn.XLOOKUP(Term2_Special_Day_3[[#This Row],[Activity]],Types_of_Activity[Type of Activity],Types_of_Activity[Classification])=2,Term2_Special_Day_3[[#This Row],[Elapsed]],0))</f>
        <v/>
      </c>
    </row>
    <row r="105" spans="2:21" x14ac:dyDescent="0.3">
      <c r="B105" s="135"/>
      <c r="C105" s="135"/>
      <c r="D105" s="102"/>
      <c r="E105" s="105" t="str">
        <f>IF(OR(ISBLANK(Term2_Special_Day_1[[#This Row],[Start]]),ISBLANK(Term2_Special_Day_1[[#This Row],[End]])),"",(Term2_Special_Day_1[[#This Row],[End]]-Term2_Special_Day_1[[#This Row],[Start]])*1440)</f>
        <v/>
      </c>
      <c r="F105" s="105" t="str">
        <f>IF(ISBLANK(Term2_Special_Day_1[[#This Row],[Activity]]),"",IF(_xlfn.XLOOKUP(Term2_Special_Day_1[[#This Row],[Activity]],Types_of_Activity[Type of Activity],Types_of_Activity[Classification])=1,Term2_Special_Day_1[[#This Row],[Elapsed]],0))</f>
        <v/>
      </c>
      <c r="G105" s="105" t="str">
        <f>IF(ISBLANK(Term2_Special_Day_1[[#This Row],[Activity]]),"",IF(_xlfn.XLOOKUP(Term2_Special_Day_1[[#This Row],[Activity]],Types_of_Activity[Type of Activity],Types_of_Activity[Classification])=2,Term2_Special_Day_1[[#This Row],[Elapsed]],0))</f>
        <v/>
      </c>
      <c r="H105"/>
      <c r="I105" s="135"/>
      <c r="J105" s="135"/>
      <c r="K105" s="102"/>
      <c r="L105" s="105" t="str">
        <f>IF(OR(ISBLANK(Term2_Special_Day_2[[#This Row],[Start]]),ISBLANK(Term2_Special_Day_2[[#This Row],[End]])),"",(Term2_Special_Day_2[[#This Row],[End]]-Term2_Special_Day_2[[#This Row],[Start]])*1440)</f>
        <v/>
      </c>
      <c r="M105" s="105" t="str">
        <f>IF(ISBLANK(Term2_Special_Day_2[[#This Row],[Activity]]),"",IF(_xlfn.XLOOKUP(Term2_Special_Day_2[[#This Row],[Activity]],Types_of_Activity[Type of Activity],Types_of_Activity[Classification])=1,Term2_Special_Day_2[[#This Row],[Elapsed]],0))</f>
        <v/>
      </c>
      <c r="N105" s="105" t="str">
        <f>IF(ISBLANK(Term2_Special_Day_2[[#This Row],[Activity]]),"",IF(_xlfn.XLOOKUP(Term2_Special_Day_2[[#This Row],[Activity]],Types_of_Activity[Type of Activity],Types_of_Activity[Classification])=2,Term2_Special_Day_2[[#This Row],[Elapsed]],0))</f>
        <v/>
      </c>
      <c r="O105"/>
      <c r="P105" s="135"/>
      <c r="Q105" s="135"/>
      <c r="R105" s="102"/>
      <c r="S105" s="105" t="str">
        <f>IF(OR(ISBLANK(Term2_Special_Day_3[[#This Row],[Start]]),ISBLANK(Term2_Special_Day_3[[#This Row],[End]])),"",(Term2_Special_Day_3[[#This Row],[End]]-Term2_Special_Day_3[[#This Row],[Start]])*1440)</f>
        <v/>
      </c>
      <c r="T105" s="105" t="str">
        <f>IF(ISBLANK(Term2_Special_Day_3[[#This Row],[Activity]]),"",IF(_xlfn.XLOOKUP(Term2_Special_Day_3[[#This Row],[Activity]],Types_of_Activity[Type of Activity],Types_of_Activity[Classification])=1,Term2_Special_Day_3[[#This Row],[Elapsed]],0))</f>
        <v/>
      </c>
      <c r="U105" s="105" t="str">
        <f>IF(ISBLANK(Term2_Special_Day_3[[#This Row],[Activity]]),"",IF(_xlfn.XLOOKUP(Term2_Special_Day_3[[#This Row],[Activity]],Types_of_Activity[Type of Activity],Types_of_Activity[Classification])=2,Term2_Special_Day_3[[#This Row],[Elapsed]],0))</f>
        <v/>
      </c>
    </row>
    <row r="106" spans="2:21" x14ac:dyDescent="0.3">
      <c r="B106" s="135"/>
      <c r="C106" s="135"/>
      <c r="D106" s="102"/>
      <c r="E106" s="105" t="str">
        <f>IF(OR(ISBLANK(Term2_Special_Day_1[[#This Row],[Start]]),ISBLANK(Term2_Special_Day_1[[#This Row],[End]])),"",(Term2_Special_Day_1[[#This Row],[End]]-Term2_Special_Day_1[[#This Row],[Start]])*1440)</f>
        <v/>
      </c>
      <c r="F106" s="105" t="str">
        <f>IF(ISBLANK(Term2_Special_Day_1[[#This Row],[Activity]]),"",IF(_xlfn.XLOOKUP(Term2_Special_Day_1[[#This Row],[Activity]],Types_of_Activity[Type of Activity],Types_of_Activity[Classification])=1,Term2_Special_Day_1[[#This Row],[Elapsed]],0))</f>
        <v/>
      </c>
      <c r="G106" s="105" t="str">
        <f>IF(ISBLANK(Term2_Special_Day_1[[#This Row],[Activity]]),"",IF(_xlfn.XLOOKUP(Term2_Special_Day_1[[#This Row],[Activity]],Types_of_Activity[Type of Activity],Types_of_Activity[Classification])=2,Term2_Special_Day_1[[#This Row],[Elapsed]],0))</f>
        <v/>
      </c>
      <c r="H106"/>
      <c r="I106" s="135"/>
      <c r="J106" s="135"/>
      <c r="K106" s="102"/>
      <c r="L106" s="105" t="str">
        <f>IF(OR(ISBLANK(Term2_Special_Day_2[[#This Row],[Start]]),ISBLANK(Term2_Special_Day_2[[#This Row],[End]])),"",(Term2_Special_Day_2[[#This Row],[End]]-Term2_Special_Day_2[[#This Row],[Start]])*1440)</f>
        <v/>
      </c>
      <c r="M106" s="105" t="str">
        <f>IF(ISBLANK(Term2_Special_Day_2[[#This Row],[Activity]]),"",IF(_xlfn.XLOOKUP(Term2_Special_Day_2[[#This Row],[Activity]],Types_of_Activity[Type of Activity],Types_of_Activity[Classification])=1,Term2_Special_Day_2[[#This Row],[Elapsed]],0))</f>
        <v/>
      </c>
      <c r="N106" s="105" t="str">
        <f>IF(ISBLANK(Term2_Special_Day_2[[#This Row],[Activity]]),"",IF(_xlfn.XLOOKUP(Term2_Special_Day_2[[#This Row],[Activity]],Types_of_Activity[Type of Activity],Types_of_Activity[Classification])=2,Term2_Special_Day_2[[#This Row],[Elapsed]],0))</f>
        <v/>
      </c>
      <c r="O106"/>
      <c r="P106" s="135"/>
      <c r="Q106" s="135"/>
      <c r="R106" s="102"/>
      <c r="S106" s="105" t="str">
        <f>IF(OR(ISBLANK(Term2_Special_Day_3[[#This Row],[Start]]),ISBLANK(Term2_Special_Day_3[[#This Row],[End]])),"",(Term2_Special_Day_3[[#This Row],[End]]-Term2_Special_Day_3[[#This Row],[Start]])*1440)</f>
        <v/>
      </c>
      <c r="T106" s="105" t="str">
        <f>IF(ISBLANK(Term2_Special_Day_3[[#This Row],[Activity]]),"",IF(_xlfn.XLOOKUP(Term2_Special_Day_3[[#This Row],[Activity]],Types_of_Activity[Type of Activity],Types_of_Activity[Classification])=1,Term2_Special_Day_3[[#This Row],[Elapsed]],0))</f>
        <v/>
      </c>
      <c r="U106" s="105" t="str">
        <f>IF(ISBLANK(Term2_Special_Day_3[[#This Row],[Activity]]),"",IF(_xlfn.XLOOKUP(Term2_Special_Day_3[[#This Row],[Activity]],Types_of_Activity[Type of Activity],Types_of_Activity[Classification])=2,Term2_Special_Day_3[[#This Row],[Elapsed]],0))</f>
        <v/>
      </c>
    </row>
    <row r="107" spans="2:21" x14ac:dyDescent="0.3">
      <c r="B107" s="135"/>
      <c r="C107" s="135"/>
      <c r="D107" s="102"/>
      <c r="E107" s="105" t="str">
        <f>IF(OR(ISBLANK(Term2_Special_Day_1[[#This Row],[Start]]),ISBLANK(Term2_Special_Day_1[[#This Row],[End]])),"",(Term2_Special_Day_1[[#This Row],[End]]-Term2_Special_Day_1[[#This Row],[Start]])*1440)</f>
        <v/>
      </c>
      <c r="F107" s="105" t="str">
        <f>IF(ISBLANK(Term2_Special_Day_1[[#This Row],[Activity]]),"",IF(_xlfn.XLOOKUP(Term2_Special_Day_1[[#This Row],[Activity]],Types_of_Activity[Type of Activity],Types_of_Activity[Classification])=1,Term2_Special_Day_1[[#This Row],[Elapsed]],0))</f>
        <v/>
      </c>
      <c r="G107" s="105" t="str">
        <f>IF(ISBLANK(Term2_Special_Day_1[[#This Row],[Activity]]),"",IF(_xlfn.XLOOKUP(Term2_Special_Day_1[[#This Row],[Activity]],Types_of_Activity[Type of Activity],Types_of_Activity[Classification])=2,Term2_Special_Day_1[[#This Row],[Elapsed]],0))</f>
        <v/>
      </c>
      <c r="H107"/>
      <c r="I107" s="135"/>
      <c r="J107" s="135"/>
      <c r="K107" s="102"/>
      <c r="L107" s="105" t="str">
        <f>IF(OR(ISBLANK(Term2_Special_Day_2[[#This Row],[Start]]),ISBLANK(Term2_Special_Day_2[[#This Row],[End]])),"",(Term2_Special_Day_2[[#This Row],[End]]-Term2_Special_Day_2[[#This Row],[Start]])*1440)</f>
        <v/>
      </c>
      <c r="M107" s="105" t="str">
        <f>IF(ISBLANK(Term2_Special_Day_2[[#This Row],[Activity]]),"",IF(_xlfn.XLOOKUP(Term2_Special_Day_2[[#This Row],[Activity]],Types_of_Activity[Type of Activity],Types_of_Activity[Classification])=1,Term2_Special_Day_2[[#This Row],[Elapsed]],0))</f>
        <v/>
      </c>
      <c r="N107" s="105" t="str">
        <f>IF(ISBLANK(Term2_Special_Day_2[[#This Row],[Activity]]),"",IF(_xlfn.XLOOKUP(Term2_Special_Day_2[[#This Row],[Activity]],Types_of_Activity[Type of Activity],Types_of_Activity[Classification])=2,Term2_Special_Day_2[[#This Row],[Elapsed]],0))</f>
        <v/>
      </c>
      <c r="O107"/>
      <c r="P107" s="135"/>
      <c r="Q107" s="135"/>
      <c r="R107" s="102"/>
      <c r="S107" s="105" t="str">
        <f>IF(OR(ISBLANK(Term2_Special_Day_3[[#This Row],[Start]]),ISBLANK(Term2_Special_Day_3[[#This Row],[End]])),"",(Term2_Special_Day_3[[#This Row],[End]]-Term2_Special_Day_3[[#This Row],[Start]])*1440)</f>
        <v/>
      </c>
      <c r="T107" s="105" t="str">
        <f>IF(ISBLANK(Term2_Special_Day_3[[#This Row],[Activity]]),"",IF(_xlfn.XLOOKUP(Term2_Special_Day_3[[#This Row],[Activity]],Types_of_Activity[Type of Activity],Types_of_Activity[Classification])=1,Term2_Special_Day_3[[#This Row],[Elapsed]],0))</f>
        <v/>
      </c>
      <c r="U107" s="105" t="str">
        <f>IF(ISBLANK(Term2_Special_Day_3[[#This Row],[Activity]]),"",IF(_xlfn.XLOOKUP(Term2_Special_Day_3[[#This Row],[Activity]],Types_of_Activity[Type of Activity],Types_of_Activity[Classification])=2,Term2_Special_Day_3[[#This Row],[Elapsed]],0))</f>
        <v/>
      </c>
    </row>
    <row r="108" spans="2:21" x14ac:dyDescent="0.3">
      <c r="B108" s="135"/>
      <c r="C108" s="135"/>
      <c r="D108" s="102"/>
      <c r="E108" s="105" t="str">
        <f>IF(OR(ISBLANK(Term2_Special_Day_1[[#This Row],[Start]]),ISBLANK(Term2_Special_Day_1[[#This Row],[End]])),"",(Term2_Special_Day_1[[#This Row],[End]]-Term2_Special_Day_1[[#This Row],[Start]])*1440)</f>
        <v/>
      </c>
      <c r="F108" s="105" t="str">
        <f>IF(ISBLANK(Term2_Special_Day_1[[#This Row],[Activity]]),"",IF(_xlfn.XLOOKUP(Term2_Special_Day_1[[#This Row],[Activity]],Types_of_Activity[Type of Activity],Types_of_Activity[Classification])=1,Term2_Special_Day_1[[#This Row],[Elapsed]],0))</f>
        <v/>
      </c>
      <c r="G108" s="105" t="str">
        <f>IF(ISBLANK(Term2_Special_Day_1[[#This Row],[Activity]]),"",IF(_xlfn.XLOOKUP(Term2_Special_Day_1[[#This Row],[Activity]],Types_of_Activity[Type of Activity],Types_of_Activity[Classification])=2,Term2_Special_Day_1[[#This Row],[Elapsed]],0))</f>
        <v/>
      </c>
      <c r="H108"/>
      <c r="I108" s="135"/>
      <c r="J108" s="135"/>
      <c r="K108" s="102"/>
      <c r="L108" s="105" t="str">
        <f>IF(OR(ISBLANK(Term2_Special_Day_2[[#This Row],[Start]]),ISBLANK(Term2_Special_Day_2[[#This Row],[End]])),"",(Term2_Special_Day_2[[#This Row],[End]]-Term2_Special_Day_2[[#This Row],[Start]])*1440)</f>
        <v/>
      </c>
      <c r="M108" s="105" t="str">
        <f>IF(ISBLANK(Term2_Special_Day_2[[#This Row],[Activity]]),"",IF(_xlfn.XLOOKUP(Term2_Special_Day_2[[#This Row],[Activity]],Types_of_Activity[Type of Activity],Types_of_Activity[Classification])=1,Term2_Special_Day_2[[#This Row],[Elapsed]],0))</f>
        <v/>
      </c>
      <c r="N108" s="105" t="str">
        <f>IF(ISBLANK(Term2_Special_Day_2[[#This Row],[Activity]]),"",IF(_xlfn.XLOOKUP(Term2_Special_Day_2[[#This Row],[Activity]],Types_of_Activity[Type of Activity],Types_of_Activity[Classification])=2,Term2_Special_Day_2[[#This Row],[Elapsed]],0))</f>
        <v/>
      </c>
      <c r="O108"/>
      <c r="P108" s="135"/>
      <c r="Q108" s="135"/>
      <c r="R108" s="102"/>
      <c r="S108" s="105" t="str">
        <f>IF(OR(ISBLANK(Term2_Special_Day_3[[#This Row],[Start]]),ISBLANK(Term2_Special_Day_3[[#This Row],[End]])),"",(Term2_Special_Day_3[[#This Row],[End]]-Term2_Special_Day_3[[#This Row],[Start]])*1440)</f>
        <v/>
      </c>
      <c r="T108" s="105" t="str">
        <f>IF(ISBLANK(Term2_Special_Day_3[[#This Row],[Activity]]),"",IF(_xlfn.XLOOKUP(Term2_Special_Day_3[[#This Row],[Activity]],Types_of_Activity[Type of Activity],Types_of_Activity[Classification])=1,Term2_Special_Day_3[[#This Row],[Elapsed]],0))</f>
        <v/>
      </c>
      <c r="U108" s="105" t="str">
        <f>IF(ISBLANK(Term2_Special_Day_3[[#This Row],[Activity]]),"",IF(_xlfn.XLOOKUP(Term2_Special_Day_3[[#This Row],[Activity]],Types_of_Activity[Type of Activity],Types_of_Activity[Classification])=2,Term2_Special_Day_3[[#This Row],[Elapsed]],0))</f>
        <v/>
      </c>
    </row>
    <row r="109" spans="2:21" x14ac:dyDescent="0.3">
      <c r="B109" s="135"/>
      <c r="C109" s="135"/>
      <c r="D109" s="102"/>
      <c r="E109" s="105" t="str">
        <f>IF(OR(ISBLANK(Term2_Special_Day_1[[#This Row],[Start]]),ISBLANK(Term2_Special_Day_1[[#This Row],[End]])),"",(Term2_Special_Day_1[[#This Row],[End]]-Term2_Special_Day_1[[#This Row],[Start]])*1440)</f>
        <v/>
      </c>
      <c r="F109" s="105" t="str">
        <f>IF(ISBLANK(Term2_Special_Day_1[[#This Row],[Activity]]),"",IF(_xlfn.XLOOKUP(Term2_Special_Day_1[[#This Row],[Activity]],Types_of_Activity[Type of Activity],Types_of_Activity[Classification])=1,Term2_Special_Day_1[[#This Row],[Elapsed]],0))</f>
        <v/>
      </c>
      <c r="G109" s="105" t="str">
        <f>IF(ISBLANK(Term2_Special_Day_1[[#This Row],[Activity]]),"",IF(_xlfn.XLOOKUP(Term2_Special_Day_1[[#This Row],[Activity]],Types_of_Activity[Type of Activity],Types_of_Activity[Classification])=2,Term2_Special_Day_1[[#This Row],[Elapsed]],0))</f>
        <v/>
      </c>
      <c r="H109"/>
      <c r="I109" s="135"/>
      <c r="J109" s="135"/>
      <c r="K109" s="102"/>
      <c r="L109" s="105" t="str">
        <f>IF(OR(ISBLANK(Term2_Special_Day_2[[#This Row],[Start]]),ISBLANK(Term2_Special_Day_2[[#This Row],[End]])),"",(Term2_Special_Day_2[[#This Row],[End]]-Term2_Special_Day_2[[#This Row],[Start]])*1440)</f>
        <v/>
      </c>
      <c r="M109" s="105" t="str">
        <f>IF(ISBLANK(Term2_Special_Day_2[[#This Row],[Activity]]),"",IF(_xlfn.XLOOKUP(Term2_Special_Day_2[[#This Row],[Activity]],Types_of_Activity[Type of Activity],Types_of_Activity[Classification])=1,Term2_Special_Day_2[[#This Row],[Elapsed]],0))</f>
        <v/>
      </c>
      <c r="N109" s="105" t="str">
        <f>IF(ISBLANK(Term2_Special_Day_2[[#This Row],[Activity]]),"",IF(_xlfn.XLOOKUP(Term2_Special_Day_2[[#This Row],[Activity]],Types_of_Activity[Type of Activity],Types_of_Activity[Classification])=2,Term2_Special_Day_2[[#This Row],[Elapsed]],0))</f>
        <v/>
      </c>
      <c r="O109"/>
      <c r="P109" s="135"/>
      <c r="Q109" s="135"/>
      <c r="R109" s="102"/>
      <c r="S109" s="105" t="str">
        <f>IF(OR(ISBLANK(Term2_Special_Day_3[[#This Row],[Start]]),ISBLANK(Term2_Special_Day_3[[#This Row],[End]])),"",(Term2_Special_Day_3[[#This Row],[End]]-Term2_Special_Day_3[[#This Row],[Start]])*1440)</f>
        <v/>
      </c>
      <c r="T109" s="105" t="str">
        <f>IF(ISBLANK(Term2_Special_Day_3[[#This Row],[Activity]]),"",IF(_xlfn.XLOOKUP(Term2_Special_Day_3[[#This Row],[Activity]],Types_of_Activity[Type of Activity],Types_of_Activity[Classification])=1,Term2_Special_Day_3[[#This Row],[Elapsed]],0))</f>
        <v/>
      </c>
      <c r="U109" s="105" t="str">
        <f>IF(ISBLANK(Term2_Special_Day_3[[#This Row],[Activity]]),"",IF(_xlfn.XLOOKUP(Term2_Special_Day_3[[#This Row],[Activity]],Types_of_Activity[Type of Activity],Types_of_Activity[Classification])=2,Term2_Special_Day_3[[#This Row],[Elapsed]],0))</f>
        <v/>
      </c>
    </row>
    <row r="110" spans="2:21" x14ac:dyDescent="0.3">
      <c r="B110" s="135"/>
      <c r="C110" s="135"/>
      <c r="D110" s="102"/>
      <c r="E110" s="105" t="str">
        <f>IF(OR(ISBLANK(Term2_Special_Day_1[[#This Row],[Start]]),ISBLANK(Term2_Special_Day_1[[#This Row],[End]])),"",(Term2_Special_Day_1[[#This Row],[End]]-Term2_Special_Day_1[[#This Row],[Start]])*1440)</f>
        <v/>
      </c>
      <c r="F110" s="105" t="str">
        <f>IF(ISBLANK(Term2_Special_Day_1[[#This Row],[Activity]]),"",IF(_xlfn.XLOOKUP(Term2_Special_Day_1[[#This Row],[Activity]],Types_of_Activity[Type of Activity],Types_of_Activity[Classification])=1,Term2_Special_Day_1[[#This Row],[Elapsed]],0))</f>
        <v/>
      </c>
      <c r="G110" s="105" t="str">
        <f>IF(ISBLANK(Term2_Special_Day_1[[#This Row],[Activity]]),"",IF(_xlfn.XLOOKUP(Term2_Special_Day_1[[#This Row],[Activity]],Types_of_Activity[Type of Activity],Types_of_Activity[Classification])=2,Term2_Special_Day_1[[#This Row],[Elapsed]],0))</f>
        <v/>
      </c>
      <c r="H110"/>
      <c r="I110" s="135"/>
      <c r="J110" s="135"/>
      <c r="K110" s="102"/>
      <c r="L110" s="105" t="str">
        <f>IF(OR(ISBLANK(Term2_Special_Day_2[[#This Row],[Start]]),ISBLANK(Term2_Special_Day_2[[#This Row],[End]])),"",(Term2_Special_Day_2[[#This Row],[End]]-Term2_Special_Day_2[[#This Row],[Start]])*1440)</f>
        <v/>
      </c>
      <c r="M110" s="105" t="str">
        <f>IF(ISBLANK(Term2_Special_Day_2[[#This Row],[Activity]]),"",IF(_xlfn.XLOOKUP(Term2_Special_Day_2[[#This Row],[Activity]],Types_of_Activity[Type of Activity],Types_of_Activity[Classification])=1,Term2_Special_Day_2[[#This Row],[Elapsed]],0))</f>
        <v/>
      </c>
      <c r="N110" s="105" t="str">
        <f>IF(ISBLANK(Term2_Special_Day_2[[#This Row],[Activity]]),"",IF(_xlfn.XLOOKUP(Term2_Special_Day_2[[#This Row],[Activity]],Types_of_Activity[Type of Activity],Types_of_Activity[Classification])=2,Term2_Special_Day_2[[#This Row],[Elapsed]],0))</f>
        <v/>
      </c>
      <c r="O110"/>
      <c r="P110" s="135"/>
      <c r="Q110" s="135"/>
      <c r="R110" s="102"/>
      <c r="S110" s="105" t="str">
        <f>IF(OR(ISBLANK(Term2_Special_Day_3[[#This Row],[Start]]),ISBLANK(Term2_Special_Day_3[[#This Row],[End]])),"",(Term2_Special_Day_3[[#This Row],[End]]-Term2_Special_Day_3[[#This Row],[Start]])*1440)</f>
        <v/>
      </c>
      <c r="T110" s="105" t="str">
        <f>IF(ISBLANK(Term2_Special_Day_3[[#This Row],[Activity]]),"",IF(_xlfn.XLOOKUP(Term2_Special_Day_3[[#This Row],[Activity]],Types_of_Activity[Type of Activity],Types_of_Activity[Classification])=1,Term2_Special_Day_3[[#This Row],[Elapsed]],0))</f>
        <v/>
      </c>
      <c r="U110" s="105" t="str">
        <f>IF(ISBLANK(Term2_Special_Day_3[[#This Row],[Activity]]),"",IF(_xlfn.XLOOKUP(Term2_Special_Day_3[[#This Row],[Activity]],Types_of_Activity[Type of Activity],Types_of_Activity[Classification])=2,Term2_Special_Day_3[[#This Row],[Elapsed]],0))</f>
        <v/>
      </c>
    </row>
    <row r="111" spans="2:21" x14ac:dyDescent="0.3">
      <c r="B111" s="135"/>
      <c r="C111" s="135"/>
      <c r="D111" s="102"/>
      <c r="E111" s="105" t="str">
        <f>IF(OR(ISBLANK(Term2_Special_Day_1[[#This Row],[Start]]),ISBLANK(Term2_Special_Day_1[[#This Row],[End]])),"",(Term2_Special_Day_1[[#This Row],[End]]-Term2_Special_Day_1[[#This Row],[Start]])*1440)</f>
        <v/>
      </c>
      <c r="F111" s="105" t="str">
        <f>IF(ISBLANK(Term2_Special_Day_1[[#This Row],[Activity]]),"",IF(_xlfn.XLOOKUP(Term2_Special_Day_1[[#This Row],[Activity]],Types_of_Activity[Type of Activity],Types_of_Activity[Classification])=1,Term2_Special_Day_1[[#This Row],[Elapsed]],0))</f>
        <v/>
      </c>
      <c r="G111" s="105" t="str">
        <f>IF(ISBLANK(Term2_Special_Day_1[[#This Row],[Activity]]),"",IF(_xlfn.XLOOKUP(Term2_Special_Day_1[[#This Row],[Activity]],Types_of_Activity[Type of Activity],Types_of_Activity[Classification])=2,Term2_Special_Day_1[[#This Row],[Elapsed]],0))</f>
        <v/>
      </c>
      <c r="H111"/>
      <c r="I111" s="135"/>
      <c r="J111" s="135"/>
      <c r="K111" s="102"/>
      <c r="L111" s="105" t="str">
        <f>IF(OR(ISBLANK(Term2_Special_Day_2[[#This Row],[Start]]),ISBLANK(Term2_Special_Day_2[[#This Row],[End]])),"",(Term2_Special_Day_2[[#This Row],[End]]-Term2_Special_Day_2[[#This Row],[Start]])*1440)</f>
        <v/>
      </c>
      <c r="M111" s="105" t="str">
        <f>IF(ISBLANK(Term2_Special_Day_2[[#This Row],[Activity]]),"",IF(_xlfn.XLOOKUP(Term2_Special_Day_2[[#This Row],[Activity]],Types_of_Activity[Type of Activity],Types_of_Activity[Classification])=1,Term2_Special_Day_2[[#This Row],[Elapsed]],0))</f>
        <v/>
      </c>
      <c r="N111" s="105" t="str">
        <f>IF(ISBLANK(Term2_Special_Day_2[[#This Row],[Activity]]),"",IF(_xlfn.XLOOKUP(Term2_Special_Day_2[[#This Row],[Activity]],Types_of_Activity[Type of Activity],Types_of_Activity[Classification])=2,Term2_Special_Day_2[[#This Row],[Elapsed]],0))</f>
        <v/>
      </c>
      <c r="O111"/>
      <c r="P111" s="135"/>
      <c r="Q111" s="135"/>
      <c r="R111" s="102"/>
      <c r="S111" s="105" t="str">
        <f>IF(OR(ISBLANK(Term2_Special_Day_3[[#This Row],[Start]]),ISBLANK(Term2_Special_Day_3[[#This Row],[End]])),"",(Term2_Special_Day_3[[#This Row],[End]]-Term2_Special_Day_3[[#This Row],[Start]])*1440)</f>
        <v/>
      </c>
      <c r="T111" s="105" t="str">
        <f>IF(ISBLANK(Term2_Special_Day_3[[#This Row],[Activity]]),"",IF(_xlfn.XLOOKUP(Term2_Special_Day_3[[#This Row],[Activity]],Types_of_Activity[Type of Activity],Types_of_Activity[Classification])=1,Term2_Special_Day_3[[#This Row],[Elapsed]],0))</f>
        <v/>
      </c>
      <c r="U111" s="105" t="str">
        <f>IF(ISBLANK(Term2_Special_Day_3[[#This Row],[Activity]]),"",IF(_xlfn.XLOOKUP(Term2_Special_Day_3[[#This Row],[Activity]],Types_of_Activity[Type of Activity],Types_of_Activity[Classification])=2,Term2_Special_Day_3[[#This Row],[Elapsed]],0))</f>
        <v/>
      </c>
    </row>
    <row r="112" spans="2:21" x14ac:dyDescent="0.3">
      <c r="B112" s="135"/>
      <c r="C112" s="135"/>
      <c r="D112" s="102"/>
      <c r="E112" s="105" t="str">
        <f>IF(OR(ISBLANK(Term2_Special_Day_1[[#This Row],[Start]]),ISBLANK(Term2_Special_Day_1[[#This Row],[End]])),"",(Term2_Special_Day_1[[#This Row],[End]]-Term2_Special_Day_1[[#This Row],[Start]])*1440)</f>
        <v/>
      </c>
      <c r="F112" s="105" t="str">
        <f>IF(ISBLANK(Term2_Special_Day_1[[#This Row],[Activity]]),"",IF(_xlfn.XLOOKUP(Term2_Special_Day_1[[#This Row],[Activity]],Types_of_Activity[Type of Activity],Types_of_Activity[Classification])=1,Term2_Special_Day_1[[#This Row],[Elapsed]],0))</f>
        <v/>
      </c>
      <c r="G112" s="105" t="str">
        <f>IF(ISBLANK(Term2_Special_Day_1[[#This Row],[Activity]]),"",IF(_xlfn.XLOOKUP(Term2_Special_Day_1[[#This Row],[Activity]],Types_of_Activity[Type of Activity],Types_of_Activity[Classification])=2,Term2_Special_Day_1[[#This Row],[Elapsed]],0))</f>
        <v/>
      </c>
      <c r="H112"/>
      <c r="I112" s="135"/>
      <c r="J112" s="135"/>
      <c r="K112" s="102"/>
      <c r="L112" s="105" t="str">
        <f>IF(OR(ISBLANK(Term2_Special_Day_2[[#This Row],[Start]]),ISBLANK(Term2_Special_Day_2[[#This Row],[End]])),"",(Term2_Special_Day_2[[#This Row],[End]]-Term2_Special_Day_2[[#This Row],[Start]])*1440)</f>
        <v/>
      </c>
      <c r="M112" s="105" t="str">
        <f>IF(ISBLANK(Term2_Special_Day_2[[#This Row],[Activity]]),"",IF(_xlfn.XLOOKUP(Term2_Special_Day_2[[#This Row],[Activity]],Types_of_Activity[Type of Activity],Types_of_Activity[Classification])=1,Term2_Special_Day_2[[#This Row],[Elapsed]],0))</f>
        <v/>
      </c>
      <c r="N112" s="105" t="str">
        <f>IF(ISBLANK(Term2_Special_Day_2[[#This Row],[Activity]]),"",IF(_xlfn.XLOOKUP(Term2_Special_Day_2[[#This Row],[Activity]],Types_of_Activity[Type of Activity],Types_of_Activity[Classification])=2,Term2_Special_Day_2[[#This Row],[Elapsed]],0))</f>
        <v/>
      </c>
      <c r="O112"/>
      <c r="P112" s="135"/>
      <c r="Q112" s="135"/>
      <c r="R112" s="102"/>
      <c r="S112" s="105" t="str">
        <f>IF(OR(ISBLANK(Term2_Special_Day_3[[#This Row],[Start]]),ISBLANK(Term2_Special_Day_3[[#This Row],[End]])),"",(Term2_Special_Day_3[[#This Row],[End]]-Term2_Special_Day_3[[#This Row],[Start]])*1440)</f>
        <v/>
      </c>
      <c r="T112" s="105" t="str">
        <f>IF(ISBLANK(Term2_Special_Day_3[[#This Row],[Activity]]),"",IF(_xlfn.XLOOKUP(Term2_Special_Day_3[[#This Row],[Activity]],Types_of_Activity[Type of Activity],Types_of_Activity[Classification])=1,Term2_Special_Day_3[[#This Row],[Elapsed]],0))</f>
        <v/>
      </c>
      <c r="U112" s="105" t="str">
        <f>IF(ISBLANK(Term2_Special_Day_3[[#This Row],[Activity]]),"",IF(_xlfn.XLOOKUP(Term2_Special_Day_3[[#This Row],[Activity]],Types_of_Activity[Type of Activity],Types_of_Activity[Classification])=2,Term2_Special_Day_3[[#This Row],[Elapsed]],0))</f>
        <v/>
      </c>
    </row>
    <row r="113" spans="2:21" x14ac:dyDescent="0.3">
      <c r="B113" s="135"/>
      <c r="C113" s="135"/>
      <c r="D113" s="102"/>
      <c r="E113" s="105" t="str">
        <f>IF(OR(ISBLANK(Term2_Special_Day_1[[#This Row],[Start]]),ISBLANK(Term2_Special_Day_1[[#This Row],[End]])),"",(Term2_Special_Day_1[[#This Row],[End]]-Term2_Special_Day_1[[#This Row],[Start]])*1440)</f>
        <v/>
      </c>
      <c r="F113" s="105" t="str">
        <f>IF(ISBLANK(Term2_Special_Day_1[[#This Row],[Activity]]),"",IF(_xlfn.XLOOKUP(Term2_Special_Day_1[[#This Row],[Activity]],Types_of_Activity[Type of Activity],Types_of_Activity[Classification])=1,Term2_Special_Day_1[[#This Row],[Elapsed]],0))</f>
        <v/>
      </c>
      <c r="G113" s="105" t="str">
        <f>IF(ISBLANK(Term2_Special_Day_1[[#This Row],[Activity]]),"",IF(_xlfn.XLOOKUP(Term2_Special_Day_1[[#This Row],[Activity]],Types_of_Activity[Type of Activity],Types_of_Activity[Classification])=2,Term2_Special_Day_1[[#This Row],[Elapsed]],0))</f>
        <v/>
      </c>
      <c r="H113"/>
      <c r="I113" s="135"/>
      <c r="J113" s="135"/>
      <c r="K113" s="102"/>
      <c r="L113" s="105" t="str">
        <f>IF(OR(ISBLANK(Term2_Special_Day_2[[#This Row],[Start]]),ISBLANK(Term2_Special_Day_2[[#This Row],[End]])),"",(Term2_Special_Day_2[[#This Row],[End]]-Term2_Special_Day_2[[#This Row],[Start]])*1440)</f>
        <v/>
      </c>
      <c r="M113" s="105" t="str">
        <f>IF(ISBLANK(Term2_Special_Day_2[[#This Row],[Activity]]),"",IF(_xlfn.XLOOKUP(Term2_Special_Day_2[[#This Row],[Activity]],Types_of_Activity[Type of Activity],Types_of_Activity[Classification])=1,Term2_Special_Day_2[[#This Row],[Elapsed]],0))</f>
        <v/>
      </c>
      <c r="N113" s="105" t="str">
        <f>IF(ISBLANK(Term2_Special_Day_2[[#This Row],[Activity]]),"",IF(_xlfn.XLOOKUP(Term2_Special_Day_2[[#This Row],[Activity]],Types_of_Activity[Type of Activity],Types_of_Activity[Classification])=2,Term2_Special_Day_2[[#This Row],[Elapsed]],0))</f>
        <v/>
      </c>
      <c r="O113"/>
      <c r="P113" s="135"/>
      <c r="Q113" s="135"/>
      <c r="R113" s="102"/>
      <c r="S113" s="105" t="str">
        <f>IF(OR(ISBLANK(Term2_Special_Day_3[[#This Row],[Start]]),ISBLANK(Term2_Special_Day_3[[#This Row],[End]])),"",(Term2_Special_Day_3[[#This Row],[End]]-Term2_Special_Day_3[[#This Row],[Start]])*1440)</f>
        <v/>
      </c>
      <c r="T113" s="105" t="str">
        <f>IF(ISBLANK(Term2_Special_Day_3[[#This Row],[Activity]]),"",IF(_xlfn.XLOOKUP(Term2_Special_Day_3[[#This Row],[Activity]],Types_of_Activity[Type of Activity],Types_of_Activity[Classification])=1,Term2_Special_Day_3[[#This Row],[Elapsed]],0))</f>
        <v/>
      </c>
      <c r="U113" s="105" t="str">
        <f>IF(ISBLANK(Term2_Special_Day_3[[#This Row],[Activity]]),"",IF(_xlfn.XLOOKUP(Term2_Special_Day_3[[#This Row],[Activity]],Types_of_Activity[Type of Activity],Types_of_Activity[Classification])=2,Term2_Special_Day_3[[#This Row],[Elapsed]],0))</f>
        <v/>
      </c>
    </row>
    <row r="114" spans="2:21" x14ac:dyDescent="0.3">
      <c r="B114" s="135"/>
      <c r="C114" s="135"/>
      <c r="D114" s="102"/>
      <c r="E114" s="105" t="str">
        <f>IF(OR(ISBLANK(Term2_Special_Day_1[[#This Row],[Start]]),ISBLANK(Term2_Special_Day_1[[#This Row],[End]])),"",(Term2_Special_Day_1[[#This Row],[End]]-Term2_Special_Day_1[[#This Row],[Start]])*1440)</f>
        <v/>
      </c>
      <c r="F114" s="105" t="str">
        <f>IF(ISBLANK(Term2_Special_Day_1[[#This Row],[Activity]]),"",IF(_xlfn.XLOOKUP(Term2_Special_Day_1[[#This Row],[Activity]],Types_of_Activity[Type of Activity],Types_of_Activity[Classification])=1,Term2_Special_Day_1[[#This Row],[Elapsed]],0))</f>
        <v/>
      </c>
      <c r="G114" s="105" t="str">
        <f>IF(ISBLANK(Term2_Special_Day_1[[#This Row],[Activity]]),"",IF(_xlfn.XLOOKUP(Term2_Special_Day_1[[#This Row],[Activity]],Types_of_Activity[Type of Activity],Types_of_Activity[Classification])=2,Term2_Special_Day_1[[#This Row],[Elapsed]],0))</f>
        <v/>
      </c>
      <c r="H114"/>
      <c r="I114" s="135"/>
      <c r="J114" s="135"/>
      <c r="K114" s="102"/>
      <c r="L114" s="105" t="str">
        <f>IF(OR(ISBLANK(Term2_Special_Day_2[[#This Row],[Start]]),ISBLANK(Term2_Special_Day_2[[#This Row],[End]])),"",(Term2_Special_Day_2[[#This Row],[End]]-Term2_Special_Day_2[[#This Row],[Start]])*1440)</f>
        <v/>
      </c>
      <c r="M114" s="105" t="str">
        <f>IF(ISBLANK(Term2_Special_Day_2[[#This Row],[Activity]]),"",IF(_xlfn.XLOOKUP(Term2_Special_Day_2[[#This Row],[Activity]],Types_of_Activity[Type of Activity],Types_of_Activity[Classification])=1,Term2_Special_Day_2[[#This Row],[Elapsed]],0))</f>
        <v/>
      </c>
      <c r="N114" s="105" t="str">
        <f>IF(ISBLANK(Term2_Special_Day_2[[#This Row],[Activity]]),"",IF(_xlfn.XLOOKUP(Term2_Special_Day_2[[#This Row],[Activity]],Types_of_Activity[Type of Activity],Types_of_Activity[Classification])=2,Term2_Special_Day_2[[#This Row],[Elapsed]],0))</f>
        <v/>
      </c>
      <c r="O114"/>
      <c r="P114" s="135"/>
      <c r="Q114" s="135"/>
      <c r="R114" s="102"/>
      <c r="S114" s="105" t="str">
        <f>IF(OR(ISBLANK(Term2_Special_Day_3[[#This Row],[Start]]),ISBLANK(Term2_Special_Day_3[[#This Row],[End]])),"",(Term2_Special_Day_3[[#This Row],[End]]-Term2_Special_Day_3[[#This Row],[Start]])*1440)</f>
        <v/>
      </c>
      <c r="T114" s="105" t="str">
        <f>IF(ISBLANK(Term2_Special_Day_3[[#This Row],[Activity]]),"",IF(_xlfn.XLOOKUP(Term2_Special_Day_3[[#This Row],[Activity]],Types_of_Activity[Type of Activity],Types_of_Activity[Classification])=1,Term2_Special_Day_3[[#This Row],[Elapsed]],0))</f>
        <v/>
      </c>
      <c r="U114" s="105" t="str">
        <f>IF(ISBLANK(Term2_Special_Day_3[[#This Row],[Activity]]),"",IF(_xlfn.XLOOKUP(Term2_Special_Day_3[[#This Row],[Activity]],Types_of_Activity[Type of Activity],Types_of_Activity[Classification])=2,Term2_Special_Day_3[[#This Row],[Elapsed]],0))</f>
        <v/>
      </c>
    </row>
    <row r="115" spans="2:21" x14ac:dyDescent="0.3">
      <c r="B115" s="135"/>
      <c r="C115" s="135"/>
      <c r="D115" s="102"/>
      <c r="E115" s="105" t="str">
        <f>IF(OR(ISBLANK(Term2_Special_Day_1[[#This Row],[Start]]),ISBLANK(Term2_Special_Day_1[[#This Row],[End]])),"",(Term2_Special_Day_1[[#This Row],[End]]-Term2_Special_Day_1[[#This Row],[Start]])*1440)</f>
        <v/>
      </c>
      <c r="F115" s="105" t="str">
        <f>IF(ISBLANK(Term2_Special_Day_1[[#This Row],[Activity]]),"",IF(_xlfn.XLOOKUP(Term2_Special_Day_1[[#This Row],[Activity]],Types_of_Activity[Type of Activity],Types_of_Activity[Classification])=1,Term2_Special_Day_1[[#This Row],[Elapsed]],0))</f>
        <v/>
      </c>
      <c r="G115" s="105" t="str">
        <f>IF(ISBLANK(Term2_Special_Day_1[[#This Row],[Activity]]),"",IF(_xlfn.XLOOKUP(Term2_Special_Day_1[[#This Row],[Activity]],Types_of_Activity[Type of Activity],Types_of_Activity[Classification])=2,Term2_Special_Day_1[[#This Row],[Elapsed]],0))</f>
        <v/>
      </c>
      <c r="H115"/>
      <c r="I115" s="135"/>
      <c r="J115" s="135"/>
      <c r="K115" s="102"/>
      <c r="L115" s="105" t="str">
        <f>IF(OR(ISBLANK(Term2_Special_Day_2[[#This Row],[Start]]),ISBLANK(Term2_Special_Day_2[[#This Row],[End]])),"",(Term2_Special_Day_2[[#This Row],[End]]-Term2_Special_Day_2[[#This Row],[Start]])*1440)</f>
        <v/>
      </c>
      <c r="M115" s="105" t="str">
        <f>IF(ISBLANK(Term2_Special_Day_2[[#This Row],[Activity]]),"",IF(_xlfn.XLOOKUP(Term2_Special_Day_2[[#This Row],[Activity]],Types_of_Activity[Type of Activity],Types_of_Activity[Classification])=1,Term2_Special_Day_2[[#This Row],[Elapsed]],0))</f>
        <v/>
      </c>
      <c r="N115" s="105" t="str">
        <f>IF(ISBLANK(Term2_Special_Day_2[[#This Row],[Activity]]),"",IF(_xlfn.XLOOKUP(Term2_Special_Day_2[[#This Row],[Activity]],Types_of_Activity[Type of Activity],Types_of_Activity[Classification])=2,Term2_Special_Day_2[[#This Row],[Elapsed]],0))</f>
        <v/>
      </c>
      <c r="O115"/>
      <c r="P115" s="135"/>
      <c r="Q115" s="135"/>
      <c r="R115" s="102"/>
      <c r="S115" s="105" t="str">
        <f>IF(OR(ISBLANK(Term2_Special_Day_3[[#This Row],[Start]]),ISBLANK(Term2_Special_Day_3[[#This Row],[End]])),"",(Term2_Special_Day_3[[#This Row],[End]]-Term2_Special_Day_3[[#This Row],[Start]])*1440)</f>
        <v/>
      </c>
      <c r="T115" s="105" t="str">
        <f>IF(ISBLANK(Term2_Special_Day_3[[#This Row],[Activity]]),"",IF(_xlfn.XLOOKUP(Term2_Special_Day_3[[#This Row],[Activity]],Types_of_Activity[Type of Activity],Types_of_Activity[Classification])=1,Term2_Special_Day_3[[#This Row],[Elapsed]],0))</f>
        <v/>
      </c>
      <c r="U115" s="105" t="str">
        <f>IF(ISBLANK(Term2_Special_Day_3[[#This Row],[Activity]]),"",IF(_xlfn.XLOOKUP(Term2_Special_Day_3[[#This Row],[Activity]],Types_of_Activity[Type of Activity],Types_of_Activity[Classification])=2,Term2_Special_Day_3[[#This Row],[Elapsed]],0))</f>
        <v/>
      </c>
    </row>
    <row r="116" spans="2:21" x14ac:dyDescent="0.3">
      <c r="B116" s="135"/>
      <c r="C116" s="135"/>
      <c r="D116" s="102"/>
      <c r="E116" s="105" t="str">
        <f>IF(OR(ISBLANK(Term2_Special_Day_1[[#This Row],[Start]]),ISBLANK(Term2_Special_Day_1[[#This Row],[End]])),"",(Term2_Special_Day_1[[#This Row],[End]]-Term2_Special_Day_1[[#This Row],[Start]])*1440)</f>
        <v/>
      </c>
      <c r="F116" s="105" t="str">
        <f>IF(ISBLANK(Term2_Special_Day_1[[#This Row],[Activity]]),"",IF(_xlfn.XLOOKUP(Term2_Special_Day_1[[#This Row],[Activity]],Types_of_Activity[Type of Activity],Types_of_Activity[Classification])=1,Term2_Special_Day_1[[#This Row],[Elapsed]],0))</f>
        <v/>
      </c>
      <c r="G116" s="105" t="str">
        <f>IF(ISBLANK(Term2_Special_Day_1[[#This Row],[Activity]]),"",IF(_xlfn.XLOOKUP(Term2_Special_Day_1[[#This Row],[Activity]],Types_of_Activity[Type of Activity],Types_of_Activity[Classification])=2,Term2_Special_Day_1[[#This Row],[Elapsed]],0))</f>
        <v/>
      </c>
      <c r="H116"/>
      <c r="I116" s="135"/>
      <c r="J116" s="135"/>
      <c r="K116" s="102"/>
      <c r="L116" s="105" t="str">
        <f>IF(OR(ISBLANK(Term2_Special_Day_2[[#This Row],[Start]]),ISBLANK(Term2_Special_Day_2[[#This Row],[End]])),"",(Term2_Special_Day_2[[#This Row],[End]]-Term2_Special_Day_2[[#This Row],[Start]])*1440)</f>
        <v/>
      </c>
      <c r="M116" s="105" t="str">
        <f>IF(ISBLANK(Term2_Special_Day_2[[#This Row],[Activity]]),"",IF(_xlfn.XLOOKUP(Term2_Special_Day_2[[#This Row],[Activity]],Types_of_Activity[Type of Activity],Types_of_Activity[Classification])=1,Term2_Special_Day_2[[#This Row],[Elapsed]],0))</f>
        <v/>
      </c>
      <c r="N116" s="105" t="str">
        <f>IF(ISBLANK(Term2_Special_Day_2[[#This Row],[Activity]]),"",IF(_xlfn.XLOOKUP(Term2_Special_Day_2[[#This Row],[Activity]],Types_of_Activity[Type of Activity],Types_of_Activity[Classification])=2,Term2_Special_Day_2[[#This Row],[Elapsed]],0))</f>
        <v/>
      </c>
      <c r="O116"/>
      <c r="P116" s="135"/>
      <c r="Q116" s="135"/>
      <c r="R116" s="102"/>
      <c r="S116" s="105" t="str">
        <f>IF(OR(ISBLANK(Term2_Special_Day_3[[#This Row],[Start]]),ISBLANK(Term2_Special_Day_3[[#This Row],[End]])),"",(Term2_Special_Day_3[[#This Row],[End]]-Term2_Special_Day_3[[#This Row],[Start]])*1440)</f>
        <v/>
      </c>
      <c r="T116" s="105" t="str">
        <f>IF(ISBLANK(Term2_Special_Day_3[[#This Row],[Activity]]),"",IF(_xlfn.XLOOKUP(Term2_Special_Day_3[[#This Row],[Activity]],Types_of_Activity[Type of Activity],Types_of_Activity[Classification])=1,Term2_Special_Day_3[[#This Row],[Elapsed]],0))</f>
        <v/>
      </c>
      <c r="U116" s="105" t="str">
        <f>IF(ISBLANK(Term2_Special_Day_3[[#This Row],[Activity]]),"",IF(_xlfn.XLOOKUP(Term2_Special_Day_3[[#This Row],[Activity]],Types_of_Activity[Type of Activity],Types_of_Activity[Classification])=2,Term2_Special_Day_3[[#This Row],[Elapsed]],0))</f>
        <v/>
      </c>
    </row>
    <row r="117" spans="2:21" x14ac:dyDescent="0.3">
      <c r="B117" s="135"/>
      <c r="C117" s="135"/>
      <c r="D117" s="102"/>
      <c r="E117" s="105" t="str">
        <f>IF(OR(ISBLANK(Term2_Special_Day_1[[#This Row],[Start]]),ISBLANK(Term2_Special_Day_1[[#This Row],[End]])),"",(Term2_Special_Day_1[[#This Row],[End]]-Term2_Special_Day_1[[#This Row],[Start]])*1440)</f>
        <v/>
      </c>
      <c r="F117" s="105" t="str">
        <f>IF(ISBLANK(Term2_Special_Day_1[[#This Row],[Activity]]),"",IF(_xlfn.XLOOKUP(Term2_Special_Day_1[[#This Row],[Activity]],Types_of_Activity[Type of Activity],Types_of_Activity[Classification])=1,Term2_Special_Day_1[[#This Row],[Elapsed]],0))</f>
        <v/>
      </c>
      <c r="G117" s="105" t="str">
        <f>IF(ISBLANK(Term2_Special_Day_1[[#This Row],[Activity]]),"",IF(_xlfn.XLOOKUP(Term2_Special_Day_1[[#This Row],[Activity]],Types_of_Activity[Type of Activity],Types_of_Activity[Classification])=2,Term2_Special_Day_1[[#This Row],[Elapsed]],0))</f>
        <v/>
      </c>
      <c r="H117"/>
      <c r="I117" s="135"/>
      <c r="J117" s="135"/>
      <c r="K117" s="102"/>
      <c r="L117" s="105" t="str">
        <f>IF(OR(ISBLANK(Term2_Special_Day_2[[#This Row],[Start]]),ISBLANK(Term2_Special_Day_2[[#This Row],[End]])),"",(Term2_Special_Day_2[[#This Row],[End]]-Term2_Special_Day_2[[#This Row],[Start]])*1440)</f>
        <v/>
      </c>
      <c r="M117" s="105" t="str">
        <f>IF(ISBLANK(Term2_Special_Day_2[[#This Row],[Activity]]),"",IF(_xlfn.XLOOKUP(Term2_Special_Day_2[[#This Row],[Activity]],Types_of_Activity[Type of Activity],Types_of_Activity[Classification])=1,Term2_Special_Day_2[[#This Row],[Elapsed]],0))</f>
        <v/>
      </c>
      <c r="N117" s="105" t="str">
        <f>IF(ISBLANK(Term2_Special_Day_2[[#This Row],[Activity]]),"",IF(_xlfn.XLOOKUP(Term2_Special_Day_2[[#This Row],[Activity]],Types_of_Activity[Type of Activity],Types_of_Activity[Classification])=2,Term2_Special_Day_2[[#This Row],[Elapsed]],0))</f>
        <v/>
      </c>
      <c r="O117"/>
      <c r="P117" s="135"/>
      <c r="Q117" s="135"/>
      <c r="R117" s="102"/>
      <c r="S117" s="105" t="str">
        <f>IF(OR(ISBLANK(Term2_Special_Day_3[[#This Row],[Start]]),ISBLANK(Term2_Special_Day_3[[#This Row],[End]])),"",(Term2_Special_Day_3[[#This Row],[End]]-Term2_Special_Day_3[[#This Row],[Start]])*1440)</f>
        <v/>
      </c>
      <c r="T117" s="105" t="str">
        <f>IF(ISBLANK(Term2_Special_Day_3[[#This Row],[Activity]]),"",IF(_xlfn.XLOOKUP(Term2_Special_Day_3[[#This Row],[Activity]],Types_of_Activity[Type of Activity],Types_of_Activity[Classification])=1,Term2_Special_Day_3[[#This Row],[Elapsed]],0))</f>
        <v/>
      </c>
      <c r="U117" s="105" t="str">
        <f>IF(ISBLANK(Term2_Special_Day_3[[#This Row],[Activity]]),"",IF(_xlfn.XLOOKUP(Term2_Special_Day_3[[#This Row],[Activity]],Types_of_Activity[Type of Activity],Types_of_Activity[Classification])=2,Term2_Special_Day_3[[#This Row],[Elapsed]],0))</f>
        <v/>
      </c>
    </row>
    <row r="118" spans="2:21" x14ac:dyDescent="0.3">
      <c r="B118" s="135"/>
      <c r="C118" s="135"/>
      <c r="D118" s="102"/>
      <c r="E118" s="105" t="str">
        <f>IF(OR(ISBLANK(Term2_Special_Day_1[[#This Row],[Start]]),ISBLANK(Term2_Special_Day_1[[#This Row],[End]])),"",(Term2_Special_Day_1[[#This Row],[End]]-Term2_Special_Day_1[[#This Row],[Start]])*1440)</f>
        <v/>
      </c>
      <c r="F118" s="105" t="str">
        <f>IF(ISBLANK(Term2_Special_Day_1[[#This Row],[Activity]]),"",IF(_xlfn.XLOOKUP(Term2_Special_Day_1[[#This Row],[Activity]],Types_of_Activity[Type of Activity],Types_of_Activity[Classification])=1,Term2_Special_Day_1[[#This Row],[Elapsed]],0))</f>
        <v/>
      </c>
      <c r="G118" s="105" t="str">
        <f>IF(ISBLANK(Term2_Special_Day_1[[#This Row],[Activity]]),"",IF(_xlfn.XLOOKUP(Term2_Special_Day_1[[#This Row],[Activity]],Types_of_Activity[Type of Activity],Types_of_Activity[Classification])=2,Term2_Special_Day_1[[#This Row],[Elapsed]],0))</f>
        <v/>
      </c>
      <c r="H118"/>
      <c r="I118" s="135"/>
      <c r="J118" s="135"/>
      <c r="K118" s="102"/>
      <c r="L118" s="105" t="str">
        <f>IF(OR(ISBLANK(Term2_Special_Day_2[[#This Row],[Start]]),ISBLANK(Term2_Special_Day_2[[#This Row],[End]])),"",(Term2_Special_Day_2[[#This Row],[End]]-Term2_Special_Day_2[[#This Row],[Start]])*1440)</f>
        <v/>
      </c>
      <c r="M118" s="105" t="str">
        <f>IF(ISBLANK(Term2_Special_Day_2[[#This Row],[Activity]]),"",IF(_xlfn.XLOOKUP(Term2_Special_Day_2[[#This Row],[Activity]],Types_of_Activity[Type of Activity],Types_of_Activity[Classification])=1,Term2_Special_Day_2[[#This Row],[Elapsed]],0))</f>
        <v/>
      </c>
      <c r="N118" s="105" t="str">
        <f>IF(ISBLANK(Term2_Special_Day_2[[#This Row],[Activity]]),"",IF(_xlfn.XLOOKUP(Term2_Special_Day_2[[#This Row],[Activity]],Types_of_Activity[Type of Activity],Types_of_Activity[Classification])=2,Term2_Special_Day_2[[#This Row],[Elapsed]],0))</f>
        <v/>
      </c>
      <c r="O118"/>
      <c r="P118" s="135"/>
      <c r="Q118" s="135"/>
      <c r="R118" s="102"/>
      <c r="S118" s="105" t="str">
        <f>IF(OR(ISBLANK(Term2_Special_Day_3[[#This Row],[Start]]),ISBLANK(Term2_Special_Day_3[[#This Row],[End]])),"",(Term2_Special_Day_3[[#This Row],[End]]-Term2_Special_Day_3[[#This Row],[Start]])*1440)</f>
        <v/>
      </c>
      <c r="T118" s="105" t="str">
        <f>IF(ISBLANK(Term2_Special_Day_3[[#This Row],[Activity]]),"",IF(_xlfn.XLOOKUP(Term2_Special_Day_3[[#This Row],[Activity]],Types_of_Activity[Type of Activity],Types_of_Activity[Classification])=1,Term2_Special_Day_3[[#This Row],[Elapsed]],0))</f>
        <v/>
      </c>
      <c r="U118" s="105" t="str">
        <f>IF(ISBLANK(Term2_Special_Day_3[[#This Row],[Activity]]),"",IF(_xlfn.XLOOKUP(Term2_Special_Day_3[[#This Row],[Activity]],Types_of_Activity[Type of Activity],Types_of_Activity[Classification])=2,Term2_Special_Day_3[[#This Row],[Elapsed]],0))</f>
        <v/>
      </c>
    </row>
    <row r="119" spans="2:21" x14ac:dyDescent="0.3">
      <c r="B119" s="135"/>
      <c r="C119" s="135"/>
      <c r="D119" s="102"/>
      <c r="E119" s="105" t="str">
        <f>IF(OR(ISBLANK(Term2_Special_Day_1[[#This Row],[Start]]),ISBLANK(Term2_Special_Day_1[[#This Row],[End]])),"",(Term2_Special_Day_1[[#This Row],[End]]-Term2_Special_Day_1[[#This Row],[Start]])*1440)</f>
        <v/>
      </c>
      <c r="F119" s="105" t="str">
        <f>IF(ISBLANK(Term2_Special_Day_1[[#This Row],[Activity]]),"",IF(_xlfn.XLOOKUP(Term2_Special_Day_1[[#This Row],[Activity]],Types_of_Activity[Type of Activity],Types_of_Activity[Classification])=1,Term2_Special_Day_1[[#This Row],[Elapsed]],0))</f>
        <v/>
      </c>
      <c r="G119" s="105" t="str">
        <f>IF(ISBLANK(Term2_Special_Day_1[[#This Row],[Activity]]),"",IF(_xlfn.XLOOKUP(Term2_Special_Day_1[[#This Row],[Activity]],Types_of_Activity[Type of Activity],Types_of_Activity[Classification])=2,Term2_Special_Day_1[[#This Row],[Elapsed]],0))</f>
        <v/>
      </c>
      <c r="H119"/>
      <c r="I119" s="135"/>
      <c r="J119" s="135"/>
      <c r="K119" s="102"/>
      <c r="L119" s="105" t="str">
        <f>IF(OR(ISBLANK(Term2_Special_Day_2[[#This Row],[Start]]),ISBLANK(Term2_Special_Day_2[[#This Row],[End]])),"",(Term2_Special_Day_2[[#This Row],[End]]-Term2_Special_Day_2[[#This Row],[Start]])*1440)</f>
        <v/>
      </c>
      <c r="M119" s="105" t="str">
        <f>IF(ISBLANK(Term2_Special_Day_2[[#This Row],[Activity]]),"",IF(_xlfn.XLOOKUP(Term2_Special_Day_2[[#This Row],[Activity]],Types_of_Activity[Type of Activity],Types_of_Activity[Classification])=1,Term2_Special_Day_2[[#This Row],[Elapsed]],0))</f>
        <v/>
      </c>
      <c r="N119" s="105" t="str">
        <f>IF(ISBLANK(Term2_Special_Day_2[[#This Row],[Activity]]),"",IF(_xlfn.XLOOKUP(Term2_Special_Day_2[[#This Row],[Activity]],Types_of_Activity[Type of Activity],Types_of_Activity[Classification])=2,Term2_Special_Day_2[[#This Row],[Elapsed]],0))</f>
        <v/>
      </c>
      <c r="O119"/>
      <c r="P119" s="135"/>
      <c r="Q119" s="135"/>
      <c r="R119" s="102"/>
      <c r="S119" s="105" t="str">
        <f>IF(OR(ISBLANK(Term2_Special_Day_3[[#This Row],[Start]]),ISBLANK(Term2_Special_Day_3[[#This Row],[End]])),"",(Term2_Special_Day_3[[#This Row],[End]]-Term2_Special_Day_3[[#This Row],[Start]])*1440)</f>
        <v/>
      </c>
      <c r="T119" s="105" t="str">
        <f>IF(ISBLANK(Term2_Special_Day_3[[#This Row],[Activity]]),"",IF(_xlfn.XLOOKUP(Term2_Special_Day_3[[#This Row],[Activity]],Types_of_Activity[Type of Activity],Types_of_Activity[Classification])=1,Term2_Special_Day_3[[#This Row],[Elapsed]],0))</f>
        <v/>
      </c>
      <c r="U119" s="105" t="str">
        <f>IF(ISBLANK(Term2_Special_Day_3[[#This Row],[Activity]]),"",IF(_xlfn.XLOOKUP(Term2_Special_Day_3[[#This Row],[Activity]],Types_of_Activity[Type of Activity],Types_of_Activity[Classification])=2,Term2_Special_Day_3[[#This Row],[Elapsed]],0))</f>
        <v/>
      </c>
    </row>
    <row r="120" spans="2:21" x14ac:dyDescent="0.3">
      <c r="B120" s="135"/>
      <c r="C120" s="135"/>
      <c r="D120" s="102"/>
      <c r="E120" s="105" t="str">
        <f>IF(OR(ISBLANK(Term2_Special_Day_1[[#This Row],[Start]]),ISBLANK(Term2_Special_Day_1[[#This Row],[End]])),"",(Term2_Special_Day_1[[#This Row],[End]]-Term2_Special_Day_1[[#This Row],[Start]])*1440)</f>
        <v/>
      </c>
      <c r="F120" s="105" t="str">
        <f>IF(ISBLANK(Term2_Special_Day_1[[#This Row],[Activity]]),"",IF(_xlfn.XLOOKUP(Term2_Special_Day_1[[#This Row],[Activity]],Types_of_Activity[Type of Activity],Types_of_Activity[Classification])=1,Term2_Special_Day_1[[#This Row],[Elapsed]],0))</f>
        <v/>
      </c>
      <c r="G120" s="105" t="str">
        <f>IF(ISBLANK(Term2_Special_Day_1[[#This Row],[Activity]]),"",IF(_xlfn.XLOOKUP(Term2_Special_Day_1[[#This Row],[Activity]],Types_of_Activity[Type of Activity],Types_of_Activity[Classification])=2,Term2_Special_Day_1[[#This Row],[Elapsed]],0))</f>
        <v/>
      </c>
      <c r="H120"/>
      <c r="I120" s="135"/>
      <c r="J120" s="135"/>
      <c r="K120" s="102"/>
      <c r="L120" s="105" t="str">
        <f>IF(OR(ISBLANK(Term2_Special_Day_2[[#This Row],[Start]]),ISBLANK(Term2_Special_Day_2[[#This Row],[End]])),"",(Term2_Special_Day_2[[#This Row],[End]]-Term2_Special_Day_2[[#This Row],[Start]])*1440)</f>
        <v/>
      </c>
      <c r="M120" s="105" t="str">
        <f>IF(ISBLANK(Term2_Special_Day_2[[#This Row],[Activity]]),"",IF(_xlfn.XLOOKUP(Term2_Special_Day_2[[#This Row],[Activity]],Types_of_Activity[Type of Activity],Types_of_Activity[Classification])=1,Term2_Special_Day_2[[#This Row],[Elapsed]],0))</f>
        <v/>
      </c>
      <c r="N120" s="105" t="str">
        <f>IF(ISBLANK(Term2_Special_Day_2[[#This Row],[Activity]]),"",IF(_xlfn.XLOOKUP(Term2_Special_Day_2[[#This Row],[Activity]],Types_of_Activity[Type of Activity],Types_of_Activity[Classification])=2,Term2_Special_Day_2[[#This Row],[Elapsed]],0))</f>
        <v/>
      </c>
      <c r="O120"/>
      <c r="P120" s="135"/>
      <c r="Q120" s="135"/>
      <c r="R120" s="102"/>
      <c r="S120" s="105" t="str">
        <f>IF(OR(ISBLANK(Term2_Special_Day_3[[#This Row],[Start]]),ISBLANK(Term2_Special_Day_3[[#This Row],[End]])),"",(Term2_Special_Day_3[[#This Row],[End]]-Term2_Special_Day_3[[#This Row],[Start]])*1440)</f>
        <v/>
      </c>
      <c r="T120" s="105" t="str">
        <f>IF(ISBLANK(Term2_Special_Day_3[[#This Row],[Activity]]),"",IF(_xlfn.XLOOKUP(Term2_Special_Day_3[[#This Row],[Activity]],Types_of_Activity[Type of Activity],Types_of_Activity[Classification])=1,Term2_Special_Day_3[[#This Row],[Elapsed]],0))</f>
        <v/>
      </c>
      <c r="U120" s="105" t="str">
        <f>IF(ISBLANK(Term2_Special_Day_3[[#This Row],[Activity]]),"",IF(_xlfn.XLOOKUP(Term2_Special_Day_3[[#This Row],[Activity]],Types_of_Activity[Type of Activity],Types_of_Activity[Classification])=2,Term2_Special_Day_3[[#This Row],[Elapsed]],0))</f>
        <v/>
      </c>
    </row>
    <row r="121" spans="2:21" x14ac:dyDescent="0.3">
      <c r="B121" s="135"/>
      <c r="C121" s="135"/>
      <c r="D121" s="102"/>
      <c r="E121" s="105" t="str">
        <f>IF(OR(ISBLANK(Term2_Special_Day_1[[#This Row],[Start]]),ISBLANK(Term2_Special_Day_1[[#This Row],[End]])),"",(Term2_Special_Day_1[[#This Row],[End]]-Term2_Special_Day_1[[#This Row],[Start]])*1440)</f>
        <v/>
      </c>
      <c r="F121" s="105" t="str">
        <f>IF(ISBLANK(Term2_Special_Day_1[[#This Row],[Activity]]),"",IF(_xlfn.XLOOKUP(Term2_Special_Day_1[[#This Row],[Activity]],Types_of_Activity[Type of Activity],Types_of_Activity[Classification])=1,Term2_Special_Day_1[[#This Row],[Elapsed]],0))</f>
        <v/>
      </c>
      <c r="G121" s="105" t="str">
        <f>IF(ISBLANK(Term2_Special_Day_1[[#This Row],[Activity]]),"",IF(_xlfn.XLOOKUP(Term2_Special_Day_1[[#This Row],[Activity]],Types_of_Activity[Type of Activity],Types_of_Activity[Classification])=2,Term2_Special_Day_1[[#This Row],[Elapsed]],0))</f>
        <v/>
      </c>
      <c r="H121"/>
      <c r="I121" s="135"/>
      <c r="J121" s="135"/>
      <c r="K121" s="102"/>
      <c r="L121" s="105" t="str">
        <f>IF(OR(ISBLANK(Term2_Special_Day_2[[#This Row],[Start]]),ISBLANK(Term2_Special_Day_2[[#This Row],[End]])),"",(Term2_Special_Day_2[[#This Row],[End]]-Term2_Special_Day_2[[#This Row],[Start]])*1440)</f>
        <v/>
      </c>
      <c r="M121" s="105" t="str">
        <f>IF(ISBLANK(Term2_Special_Day_2[[#This Row],[Activity]]),"",IF(_xlfn.XLOOKUP(Term2_Special_Day_2[[#This Row],[Activity]],Types_of_Activity[Type of Activity],Types_of_Activity[Classification])=1,Term2_Special_Day_2[[#This Row],[Elapsed]],0))</f>
        <v/>
      </c>
      <c r="N121" s="105" t="str">
        <f>IF(ISBLANK(Term2_Special_Day_2[[#This Row],[Activity]]),"",IF(_xlfn.XLOOKUP(Term2_Special_Day_2[[#This Row],[Activity]],Types_of_Activity[Type of Activity],Types_of_Activity[Classification])=2,Term2_Special_Day_2[[#This Row],[Elapsed]],0))</f>
        <v/>
      </c>
      <c r="O121"/>
      <c r="P121" s="135"/>
      <c r="Q121" s="135"/>
      <c r="R121" s="102"/>
      <c r="S121" s="105" t="str">
        <f>IF(OR(ISBLANK(Term2_Special_Day_3[[#This Row],[Start]]),ISBLANK(Term2_Special_Day_3[[#This Row],[End]])),"",(Term2_Special_Day_3[[#This Row],[End]]-Term2_Special_Day_3[[#This Row],[Start]])*1440)</f>
        <v/>
      </c>
      <c r="T121" s="105" t="str">
        <f>IF(ISBLANK(Term2_Special_Day_3[[#This Row],[Activity]]),"",IF(_xlfn.XLOOKUP(Term2_Special_Day_3[[#This Row],[Activity]],Types_of_Activity[Type of Activity],Types_of_Activity[Classification])=1,Term2_Special_Day_3[[#This Row],[Elapsed]],0))</f>
        <v/>
      </c>
      <c r="U121" s="105" t="str">
        <f>IF(ISBLANK(Term2_Special_Day_3[[#This Row],[Activity]]),"",IF(_xlfn.XLOOKUP(Term2_Special_Day_3[[#This Row],[Activity]],Types_of_Activity[Type of Activity],Types_of_Activity[Classification])=2,Term2_Special_Day_3[[#This Row],[Elapsed]],0))</f>
        <v/>
      </c>
    </row>
    <row r="122" spans="2:21" x14ac:dyDescent="0.3">
      <c r="B122" s="135"/>
      <c r="C122" s="135"/>
      <c r="D122" s="102"/>
      <c r="E122" s="105" t="str">
        <f>IF(OR(ISBLANK(Term2_Special_Day_1[[#This Row],[Start]]),ISBLANK(Term2_Special_Day_1[[#This Row],[End]])),"",(Term2_Special_Day_1[[#This Row],[End]]-Term2_Special_Day_1[[#This Row],[Start]])*1440)</f>
        <v/>
      </c>
      <c r="F122" s="105" t="str">
        <f>IF(ISBLANK(Term2_Special_Day_1[[#This Row],[Activity]]),"",IF(_xlfn.XLOOKUP(Term2_Special_Day_1[[#This Row],[Activity]],Types_of_Activity[Type of Activity],Types_of_Activity[Classification])=1,Term2_Special_Day_1[[#This Row],[Elapsed]],0))</f>
        <v/>
      </c>
      <c r="G122" s="105" t="str">
        <f>IF(ISBLANK(Term2_Special_Day_1[[#This Row],[Activity]]),"",IF(_xlfn.XLOOKUP(Term2_Special_Day_1[[#This Row],[Activity]],Types_of_Activity[Type of Activity],Types_of_Activity[Classification])=2,Term2_Special_Day_1[[#This Row],[Elapsed]],0))</f>
        <v/>
      </c>
      <c r="H122"/>
      <c r="I122" s="135"/>
      <c r="J122" s="135"/>
      <c r="K122" s="102"/>
      <c r="L122" s="105" t="str">
        <f>IF(OR(ISBLANK(Term2_Special_Day_2[[#This Row],[Start]]),ISBLANK(Term2_Special_Day_2[[#This Row],[End]])),"",(Term2_Special_Day_2[[#This Row],[End]]-Term2_Special_Day_2[[#This Row],[Start]])*1440)</f>
        <v/>
      </c>
      <c r="M122" s="105" t="str">
        <f>IF(ISBLANK(Term2_Special_Day_2[[#This Row],[Activity]]),"",IF(_xlfn.XLOOKUP(Term2_Special_Day_2[[#This Row],[Activity]],Types_of_Activity[Type of Activity],Types_of_Activity[Classification])=1,Term2_Special_Day_2[[#This Row],[Elapsed]],0))</f>
        <v/>
      </c>
      <c r="N122" s="105" t="str">
        <f>IF(ISBLANK(Term2_Special_Day_2[[#This Row],[Activity]]),"",IF(_xlfn.XLOOKUP(Term2_Special_Day_2[[#This Row],[Activity]],Types_of_Activity[Type of Activity],Types_of_Activity[Classification])=2,Term2_Special_Day_2[[#This Row],[Elapsed]],0))</f>
        <v/>
      </c>
      <c r="O122"/>
      <c r="P122" s="135"/>
      <c r="Q122" s="135"/>
      <c r="R122" s="102"/>
      <c r="S122" s="105" t="str">
        <f>IF(OR(ISBLANK(Term2_Special_Day_3[[#This Row],[Start]]),ISBLANK(Term2_Special_Day_3[[#This Row],[End]])),"",(Term2_Special_Day_3[[#This Row],[End]]-Term2_Special_Day_3[[#This Row],[Start]])*1440)</f>
        <v/>
      </c>
      <c r="T122" s="105" t="str">
        <f>IF(ISBLANK(Term2_Special_Day_3[[#This Row],[Activity]]),"",IF(_xlfn.XLOOKUP(Term2_Special_Day_3[[#This Row],[Activity]],Types_of_Activity[Type of Activity],Types_of_Activity[Classification])=1,Term2_Special_Day_3[[#This Row],[Elapsed]],0))</f>
        <v/>
      </c>
      <c r="U122" s="105" t="str">
        <f>IF(ISBLANK(Term2_Special_Day_3[[#This Row],[Activity]]),"",IF(_xlfn.XLOOKUP(Term2_Special_Day_3[[#This Row],[Activity]],Types_of_Activity[Type of Activity],Types_of_Activity[Classification])=2,Term2_Special_Day_3[[#This Row],[Elapsed]],0))</f>
        <v/>
      </c>
    </row>
    <row r="123" spans="2:21" x14ac:dyDescent="0.3">
      <c r="B123" s="135"/>
      <c r="C123" s="135"/>
      <c r="D123" s="102"/>
      <c r="E123" s="105" t="str">
        <f>IF(OR(ISBLANK(Term2_Special_Day_1[[#This Row],[Start]]),ISBLANK(Term2_Special_Day_1[[#This Row],[End]])),"",(Term2_Special_Day_1[[#This Row],[End]]-Term2_Special_Day_1[[#This Row],[Start]])*1440)</f>
        <v/>
      </c>
      <c r="F123" s="105" t="str">
        <f>IF(ISBLANK(Term2_Special_Day_1[[#This Row],[Activity]]),"",IF(_xlfn.XLOOKUP(Term2_Special_Day_1[[#This Row],[Activity]],Types_of_Activity[Type of Activity],Types_of_Activity[Classification])=1,Term2_Special_Day_1[[#This Row],[Elapsed]],0))</f>
        <v/>
      </c>
      <c r="G123" s="105" t="str">
        <f>IF(ISBLANK(Term2_Special_Day_1[[#This Row],[Activity]]),"",IF(_xlfn.XLOOKUP(Term2_Special_Day_1[[#This Row],[Activity]],Types_of_Activity[Type of Activity],Types_of_Activity[Classification])=2,Term2_Special_Day_1[[#This Row],[Elapsed]],0))</f>
        <v/>
      </c>
      <c r="H123"/>
      <c r="I123" s="135"/>
      <c r="J123" s="135"/>
      <c r="K123" s="102"/>
      <c r="L123" s="105" t="str">
        <f>IF(OR(ISBLANK(Term2_Special_Day_2[[#This Row],[Start]]),ISBLANK(Term2_Special_Day_2[[#This Row],[End]])),"",(Term2_Special_Day_2[[#This Row],[End]]-Term2_Special_Day_2[[#This Row],[Start]])*1440)</f>
        <v/>
      </c>
      <c r="M123" s="105" t="str">
        <f>IF(ISBLANK(Term2_Special_Day_2[[#This Row],[Activity]]),"",IF(_xlfn.XLOOKUP(Term2_Special_Day_2[[#This Row],[Activity]],Types_of_Activity[Type of Activity],Types_of_Activity[Classification])=1,Term2_Special_Day_2[[#This Row],[Elapsed]],0))</f>
        <v/>
      </c>
      <c r="N123" s="105" t="str">
        <f>IF(ISBLANK(Term2_Special_Day_2[[#This Row],[Activity]]),"",IF(_xlfn.XLOOKUP(Term2_Special_Day_2[[#This Row],[Activity]],Types_of_Activity[Type of Activity],Types_of_Activity[Classification])=2,Term2_Special_Day_2[[#This Row],[Elapsed]],0))</f>
        <v/>
      </c>
      <c r="O123"/>
      <c r="P123" s="135"/>
      <c r="Q123" s="135"/>
      <c r="R123" s="102"/>
      <c r="S123" s="105" t="str">
        <f>IF(OR(ISBLANK(Term2_Special_Day_3[[#This Row],[Start]]),ISBLANK(Term2_Special_Day_3[[#This Row],[End]])),"",(Term2_Special_Day_3[[#This Row],[End]]-Term2_Special_Day_3[[#This Row],[Start]])*1440)</f>
        <v/>
      </c>
      <c r="T123" s="105" t="str">
        <f>IF(ISBLANK(Term2_Special_Day_3[[#This Row],[Activity]]),"",IF(_xlfn.XLOOKUP(Term2_Special_Day_3[[#This Row],[Activity]],Types_of_Activity[Type of Activity],Types_of_Activity[Classification])=1,Term2_Special_Day_3[[#This Row],[Elapsed]],0))</f>
        <v/>
      </c>
      <c r="U123" s="105" t="str">
        <f>IF(ISBLANK(Term2_Special_Day_3[[#This Row],[Activity]]),"",IF(_xlfn.XLOOKUP(Term2_Special_Day_3[[#This Row],[Activity]],Types_of_Activity[Type of Activity],Types_of_Activity[Classification])=2,Term2_Special_Day_3[[#This Row],[Elapsed]],0))</f>
        <v/>
      </c>
    </row>
    <row r="124" spans="2:21" x14ac:dyDescent="0.3">
      <c r="B124" s="135"/>
      <c r="C124" s="135"/>
      <c r="D124" s="102"/>
      <c r="E124" s="105" t="str">
        <f>IF(OR(ISBLANK(Term2_Special_Day_1[[#This Row],[Start]]),ISBLANK(Term2_Special_Day_1[[#This Row],[End]])),"",(Term2_Special_Day_1[[#This Row],[End]]-Term2_Special_Day_1[[#This Row],[Start]])*1440)</f>
        <v/>
      </c>
      <c r="F124" s="105" t="str">
        <f>IF(ISBLANK(Term2_Special_Day_1[[#This Row],[Activity]]),"",IF(_xlfn.XLOOKUP(Term2_Special_Day_1[[#This Row],[Activity]],Types_of_Activity[Type of Activity],Types_of_Activity[Classification])=1,Term2_Special_Day_1[[#This Row],[Elapsed]],0))</f>
        <v/>
      </c>
      <c r="G124" s="105" t="str">
        <f>IF(ISBLANK(Term2_Special_Day_1[[#This Row],[Activity]]),"",IF(_xlfn.XLOOKUP(Term2_Special_Day_1[[#This Row],[Activity]],Types_of_Activity[Type of Activity],Types_of_Activity[Classification])=2,Term2_Special_Day_1[[#This Row],[Elapsed]],0))</f>
        <v/>
      </c>
      <c r="H124"/>
      <c r="I124" s="135"/>
      <c r="J124" s="135"/>
      <c r="K124" s="102"/>
      <c r="L124" s="105" t="str">
        <f>IF(OR(ISBLANK(Term2_Special_Day_2[[#This Row],[Start]]),ISBLANK(Term2_Special_Day_2[[#This Row],[End]])),"",(Term2_Special_Day_2[[#This Row],[End]]-Term2_Special_Day_2[[#This Row],[Start]])*1440)</f>
        <v/>
      </c>
      <c r="M124" s="105" t="str">
        <f>IF(ISBLANK(Term2_Special_Day_2[[#This Row],[Activity]]),"",IF(_xlfn.XLOOKUP(Term2_Special_Day_2[[#This Row],[Activity]],Types_of_Activity[Type of Activity],Types_of_Activity[Classification])=1,Term2_Special_Day_2[[#This Row],[Elapsed]],0))</f>
        <v/>
      </c>
      <c r="N124" s="105" t="str">
        <f>IF(ISBLANK(Term2_Special_Day_2[[#This Row],[Activity]]),"",IF(_xlfn.XLOOKUP(Term2_Special_Day_2[[#This Row],[Activity]],Types_of_Activity[Type of Activity],Types_of_Activity[Classification])=2,Term2_Special_Day_2[[#This Row],[Elapsed]],0))</f>
        <v/>
      </c>
      <c r="O124"/>
      <c r="P124" s="135"/>
      <c r="Q124" s="135"/>
      <c r="R124" s="102"/>
      <c r="S124" s="105" t="str">
        <f>IF(OR(ISBLANK(Term2_Special_Day_3[[#This Row],[Start]]),ISBLANK(Term2_Special_Day_3[[#This Row],[End]])),"",(Term2_Special_Day_3[[#This Row],[End]]-Term2_Special_Day_3[[#This Row],[Start]])*1440)</f>
        <v/>
      </c>
      <c r="T124" s="105" t="str">
        <f>IF(ISBLANK(Term2_Special_Day_3[[#This Row],[Activity]]),"",IF(_xlfn.XLOOKUP(Term2_Special_Day_3[[#This Row],[Activity]],Types_of_Activity[Type of Activity],Types_of_Activity[Classification])=1,Term2_Special_Day_3[[#This Row],[Elapsed]],0))</f>
        <v/>
      </c>
      <c r="U124" s="105" t="str">
        <f>IF(ISBLANK(Term2_Special_Day_3[[#This Row],[Activity]]),"",IF(_xlfn.XLOOKUP(Term2_Special_Day_3[[#This Row],[Activity]],Types_of_Activity[Type of Activity],Types_of_Activity[Classification])=2,Term2_Special_Day_3[[#This Row],[Elapsed]],0))</f>
        <v/>
      </c>
    </row>
    <row r="125" spans="2:21" x14ac:dyDescent="0.3">
      <c r="B125" s="135"/>
      <c r="C125" s="135"/>
      <c r="D125" s="102"/>
      <c r="E125" s="105" t="str">
        <f>IF(OR(ISBLANK(Term2_Special_Day_1[[#This Row],[Start]]),ISBLANK(Term2_Special_Day_1[[#This Row],[End]])),"",(Term2_Special_Day_1[[#This Row],[End]]-Term2_Special_Day_1[[#This Row],[Start]])*1440)</f>
        <v/>
      </c>
      <c r="F125" s="105" t="str">
        <f>IF(ISBLANK(Term2_Special_Day_1[[#This Row],[Activity]]),"",IF(_xlfn.XLOOKUP(Term2_Special_Day_1[[#This Row],[Activity]],Types_of_Activity[Type of Activity],Types_of_Activity[Classification])=1,Term2_Special_Day_1[[#This Row],[Elapsed]],0))</f>
        <v/>
      </c>
      <c r="G125" s="105" t="str">
        <f>IF(ISBLANK(Term2_Special_Day_1[[#This Row],[Activity]]),"",IF(_xlfn.XLOOKUP(Term2_Special_Day_1[[#This Row],[Activity]],Types_of_Activity[Type of Activity],Types_of_Activity[Classification])=2,Term2_Special_Day_1[[#This Row],[Elapsed]],0))</f>
        <v/>
      </c>
      <c r="H125"/>
      <c r="I125" s="135"/>
      <c r="J125" s="135"/>
      <c r="K125" s="102"/>
      <c r="L125" s="105" t="str">
        <f>IF(OR(ISBLANK(Term2_Special_Day_2[[#This Row],[Start]]),ISBLANK(Term2_Special_Day_2[[#This Row],[End]])),"",(Term2_Special_Day_2[[#This Row],[End]]-Term2_Special_Day_2[[#This Row],[Start]])*1440)</f>
        <v/>
      </c>
      <c r="M125" s="105" t="str">
        <f>IF(ISBLANK(Term2_Special_Day_2[[#This Row],[Activity]]),"",IF(_xlfn.XLOOKUP(Term2_Special_Day_2[[#This Row],[Activity]],Types_of_Activity[Type of Activity],Types_of_Activity[Classification])=1,Term2_Special_Day_2[[#This Row],[Elapsed]],0))</f>
        <v/>
      </c>
      <c r="N125" s="105" t="str">
        <f>IF(ISBLANK(Term2_Special_Day_2[[#This Row],[Activity]]),"",IF(_xlfn.XLOOKUP(Term2_Special_Day_2[[#This Row],[Activity]],Types_of_Activity[Type of Activity],Types_of_Activity[Classification])=2,Term2_Special_Day_2[[#This Row],[Elapsed]],0))</f>
        <v/>
      </c>
      <c r="O125"/>
      <c r="P125" s="135"/>
      <c r="Q125" s="135"/>
      <c r="R125" s="102"/>
      <c r="S125" s="105" t="str">
        <f>IF(OR(ISBLANK(Term2_Special_Day_3[[#This Row],[Start]]),ISBLANK(Term2_Special_Day_3[[#This Row],[End]])),"",(Term2_Special_Day_3[[#This Row],[End]]-Term2_Special_Day_3[[#This Row],[Start]])*1440)</f>
        <v/>
      </c>
      <c r="T125" s="105" t="str">
        <f>IF(ISBLANK(Term2_Special_Day_3[[#This Row],[Activity]]),"",IF(_xlfn.XLOOKUP(Term2_Special_Day_3[[#This Row],[Activity]],Types_of_Activity[Type of Activity],Types_of_Activity[Classification])=1,Term2_Special_Day_3[[#This Row],[Elapsed]],0))</f>
        <v/>
      </c>
      <c r="U125" s="105" t="str">
        <f>IF(ISBLANK(Term2_Special_Day_3[[#This Row],[Activity]]),"",IF(_xlfn.XLOOKUP(Term2_Special_Day_3[[#This Row],[Activity]],Types_of_Activity[Type of Activity],Types_of_Activity[Classification])=2,Term2_Special_Day_3[[#This Row],[Elapsed]],0))</f>
        <v/>
      </c>
    </row>
    <row r="126" spans="2:21" x14ac:dyDescent="0.3">
      <c r="B126" s="135"/>
      <c r="C126" s="135"/>
      <c r="D126" s="102"/>
      <c r="E126" s="105" t="str">
        <f>IF(OR(ISBLANK(Term2_Special_Day_1[[#This Row],[Start]]),ISBLANK(Term2_Special_Day_1[[#This Row],[End]])),"",(Term2_Special_Day_1[[#This Row],[End]]-Term2_Special_Day_1[[#This Row],[Start]])*1440)</f>
        <v/>
      </c>
      <c r="F126" s="105" t="str">
        <f>IF(ISBLANK(Term2_Special_Day_1[[#This Row],[Activity]]),"",IF(_xlfn.XLOOKUP(Term2_Special_Day_1[[#This Row],[Activity]],Types_of_Activity[Type of Activity],Types_of_Activity[Classification])=1,Term2_Special_Day_1[[#This Row],[Elapsed]],0))</f>
        <v/>
      </c>
      <c r="G126" s="105" t="str">
        <f>IF(ISBLANK(Term2_Special_Day_1[[#This Row],[Activity]]),"",IF(_xlfn.XLOOKUP(Term2_Special_Day_1[[#This Row],[Activity]],Types_of_Activity[Type of Activity],Types_of_Activity[Classification])=2,Term2_Special_Day_1[[#This Row],[Elapsed]],0))</f>
        <v/>
      </c>
      <c r="H126"/>
      <c r="I126" s="135"/>
      <c r="J126" s="135"/>
      <c r="K126" s="102"/>
      <c r="L126" s="105" t="str">
        <f>IF(OR(ISBLANK(Term2_Special_Day_2[[#This Row],[Start]]),ISBLANK(Term2_Special_Day_2[[#This Row],[End]])),"",(Term2_Special_Day_2[[#This Row],[End]]-Term2_Special_Day_2[[#This Row],[Start]])*1440)</f>
        <v/>
      </c>
      <c r="M126" s="105" t="str">
        <f>IF(ISBLANK(Term2_Special_Day_2[[#This Row],[Activity]]),"",IF(_xlfn.XLOOKUP(Term2_Special_Day_2[[#This Row],[Activity]],Types_of_Activity[Type of Activity],Types_of_Activity[Classification])=1,Term2_Special_Day_2[[#This Row],[Elapsed]],0))</f>
        <v/>
      </c>
      <c r="N126" s="105" t="str">
        <f>IF(ISBLANK(Term2_Special_Day_2[[#This Row],[Activity]]),"",IF(_xlfn.XLOOKUP(Term2_Special_Day_2[[#This Row],[Activity]],Types_of_Activity[Type of Activity],Types_of_Activity[Classification])=2,Term2_Special_Day_2[[#This Row],[Elapsed]],0))</f>
        <v/>
      </c>
      <c r="O126"/>
      <c r="P126" s="135"/>
      <c r="Q126" s="135"/>
      <c r="R126" s="102"/>
      <c r="S126" s="105" t="str">
        <f>IF(OR(ISBLANK(Term2_Special_Day_3[[#This Row],[Start]]),ISBLANK(Term2_Special_Day_3[[#This Row],[End]])),"",(Term2_Special_Day_3[[#This Row],[End]]-Term2_Special_Day_3[[#This Row],[Start]])*1440)</f>
        <v/>
      </c>
      <c r="T126" s="105" t="str">
        <f>IF(ISBLANK(Term2_Special_Day_3[[#This Row],[Activity]]),"",IF(_xlfn.XLOOKUP(Term2_Special_Day_3[[#This Row],[Activity]],Types_of_Activity[Type of Activity],Types_of_Activity[Classification])=1,Term2_Special_Day_3[[#This Row],[Elapsed]],0))</f>
        <v/>
      </c>
      <c r="U126" s="105" t="str">
        <f>IF(ISBLANK(Term2_Special_Day_3[[#This Row],[Activity]]),"",IF(_xlfn.XLOOKUP(Term2_Special_Day_3[[#This Row],[Activity]],Types_of_Activity[Type of Activity],Types_of_Activity[Classification])=2,Term2_Special_Day_3[[#This Row],[Elapsed]],0))</f>
        <v/>
      </c>
    </row>
    <row r="127" spans="2:21" x14ac:dyDescent="0.3">
      <c r="B127" s="135"/>
      <c r="C127" s="135"/>
      <c r="D127" s="102"/>
      <c r="E127" s="105" t="str">
        <f>IF(OR(ISBLANK(Term2_Special_Day_1[[#This Row],[Start]]),ISBLANK(Term2_Special_Day_1[[#This Row],[End]])),"",(Term2_Special_Day_1[[#This Row],[End]]-Term2_Special_Day_1[[#This Row],[Start]])*1440)</f>
        <v/>
      </c>
      <c r="F127" s="105" t="str">
        <f>IF(ISBLANK(Term2_Special_Day_1[[#This Row],[Activity]]),"",IF(_xlfn.XLOOKUP(Term2_Special_Day_1[[#This Row],[Activity]],Types_of_Activity[Type of Activity],Types_of_Activity[Classification])=1,Term2_Special_Day_1[[#This Row],[Elapsed]],0))</f>
        <v/>
      </c>
      <c r="G127" s="105" t="str">
        <f>IF(ISBLANK(Term2_Special_Day_1[[#This Row],[Activity]]),"",IF(_xlfn.XLOOKUP(Term2_Special_Day_1[[#This Row],[Activity]],Types_of_Activity[Type of Activity],Types_of_Activity[Classification])=2,Term2_Special_Day_1[[#This Row],[Elapsed]],0))</f>
        <v/>
      </c>
      <c r="H127"/>
      <c r="I127" s="135"/>
      <c r="J127" s="135"/>
      <c r="K127" s="102"/>
      <c r="L127" s="105" t="str">
        <f>IF(OR(ISBLANK(Term2_Special_Day_2[[#This Row],[Start]]),ISBLANK(Term2_Special_Day_2[[#This Row],[End]])),"",(Term2_Special_Day_2[[#This Row],[End]]-Term2_Special_Day_2[[#This Row],[Start]])*1440)</f>
        <v/>
      </c>
      <c r="M127" s="105" t="str">
        <f>IF(ISBLANK(Term2_Special_Day_2[[#This Row],[Activity]]),"",IF(_xlfn.XLOOKUP(Term2_Special_Day_2[[#This Row],[Activity]],Types_of_Activity[Type of Activity],Types_of_Activity[Classification])=1,Term2_Special_Day_2[[#This Row],[Elapsed]],0))</f>
        <v/>
      </c>
      <c r="N127" s="105" t="str">
        <f>IF(ISBLANK(Term2_Special_Day_2[[#This Row],[Activity]]),"",IF(_xlfn.XLOOKUP(Term2_Special_Day_2[[#This Row],[Activity]],Types_of_Activity[Type of Activity],Types_of_Activity[Classification])=2,Term2_Special_Day_2[[#This Row],[Elapsed]],0))</f>
        <v/>
      </c>
      <c r="O127"/>
      <c r="P127" s="135"/>
      <c r="Q127" s="135"/>
      <c r="R127" s="102"/>
      <c r="S127" s="105" t="str">
        <f>IF(OR(ISBLANK(Term2_Special_Day_3[[#This Row],[Start]]),ISBLANK(Term2_Special_Day_3[[#This Row],[End]])),"",(Term2_Special_Day_3[[#This Row],[End]]-Term2_Special_Day_3[[#This Row],[Start]])*1440)</f>
        <v/>
      </c>
      <c r="T127" s="105" t="str">
        <f>IF(ISBLANK(Term2_Special_Day_3[[#This Row],[Activity]]),"",IF(_xlfn.XLOOKUP(Term2_Special_Day_3[[#This Row],[Activity]],Types_of_Activity[Type of Activity],Types_of_Activity[Classification])=1,Term2_Special_Day_3[[#This Row],[Elapsed]],0))</f>
        <v/>
      </c>
      <c r="U127" s="105" t="str">
        <f>IF(ISBLANK(Term2_Special_Day_3[[#This Row],[Activity]]),"",IF(_xlfn.XLOOKUP(Term2_Special_Day_3[[#This Row],[Activity]],Types_of_Activity[Type of Activity],Types_of_Activity[Classification])=2,Term2_Special_Day_3[[#This Row],[Elapsed]],0))</f>
        <v/>
      </c>
    </row>
    <row r="128" spans="2:21" x14ac:dyDescent="0.3">
      <c r="B128" s="135"/>
      <c r="C128" s="135"/>
      <c r="D128" s="102"/>
      <c r="E128" s="105" t="str">
        <f>IF(OR(ISBLANK(Term2_Special_Day_1[[#This Row],[Start]]),ISBLANK(Term2_Special_Day_1[[#This Row],[End]])),"",(Term2_Special_Day_1[[#This Row],[End]]-Term2_Special_Day_1[[#This Row],[Start]])*1440)</f>
        <v/>
      </c>
      <c r="F128" s="105" t="str">
        <f>IF(ISBLANK(Term2_Special_Day_1[[#This Row],[Activity]]),"",IF(_xlfn.XLOOKUP(Term2_Special_Day_1[[#This Row],[Activity]],Types_of_Activity[Type of Activity],Types_of_Activity[Classification])=1,Term2_Special_Day_1[[#This Row],[Elapsed]],0))</f>
        <v/>
      </c>
      <c r="G128" s="105" t="str">
        <f>IF(ISBLANK(Term2_Special_Day_1[[#This Row],[Activity]]),"",IF(_xlfn.XLOOKUP(Term2_Special_Day_1[[#This Row],[Activity]],Types_of_Activity[Type of Activity],Types_of_Activity[Classification])=2,Term2_Special_Day_1[[#This Row],[Elapsed]],0))</f>
        <v/>
      </c>
      <c r="H128"/>
      <c r="I128" s="135"/>
      <c r="J128" s="135"/>
      <c r="K128" s="102"/>
      <c r="L128" s="105" t="str">
        <f>IF(OR(ISBLANK(Term2_Special_Day_2[[#This Row],[Start]]),ISBLANK(Term2_Special_Day_2[[#This Row],[End]])),"",(Term2_Special_Day_2[[#This Row],[End]]-Term2_Special_Day_2[[#This Row],[Start]])*1440)</f>
        <v/>
      </c>
      <c r="M128" s="105" t="str">
        <f>IF(ISBLANK(Term2_Special_Day_2[[#This Row],[Activity]]),"",IF(_xlfn.XLOOKUP(Term2_Special_Day_2[[#This Row],[Activity]],Types_of_Activity[Type of Activity],Types_of_Activity[Classification])=1,Term2_Special_Day_2[[#This Row],[Elapsed]],0))</f>
        <v/>
      </c>
      <c r="N128" s="105" t="str">
        <f>IF(ISBLANK(Term2_Special_Day_2[[#This Row],[Activity]]),"",IF(_xlfn.XLOOKUP(Term2_Special_Day_2[[#This Row],[Activity]],Types_of_Activity[Type of Activity],Types_of_Activity[Classification])=2,Term2_Special_Day_2[[#This Row],[Elapsed]],0))</f>
        <v/>
      </c>
      <c r="O128"/>
      <c r="P128" s="135"/>
      <c r="Q128" s="135"/>
      <c r="R128" s="102"/>
      <c r="S128" s="105" t="str">
        <f>IF(OR(ISBLANK(Term2_Special_Day_3[[#This Row],[Start]]),ISBLANK(Term2_Special_Day_3[[#This Row],[End]])),"",(Term2_Special_Day_3[[#This Row],[End]]-Term2_Special_Day_3[[#This Row],[Start]])*1440)</f>
        <v/>
      </c>
      <c r="T128" s="105" t="str">
        <f>IF(ISBLANK(Term2_Special_Day_3[[#This Row],[Activity]]),"",IF(_xlfn.XLOOKUP(Term2_Special_Day_3[[#This Row],[Activity]],Types_of_Activity[Type of Activity],Types_of_Activity[Classification])=1,Term2_Special_Day_3[[#This Row],[Elapsed]],0))</f>
        <v/>
      </c>
      <c r="U128" s="105" t="str">
        <f>IF(ISBLANK(Term2_Special_Day_3[[#This Row],[Activity]]),"",IF(_xlfn.XLOOKUP(Term2_Special_Day_3[[#This Row],[Activity]],Types_of_Activity[Type of Activity],Types_of_Activity[Classification])=2,Term2_Special_Day_3[[#This Row],[Elapsed]],0))</f>
        <v/>
      </c>
    </row>
    <row r="129" spans="2:21" x14ac:dyDescent="0.3">
      <c r="B129" s="135"/>
      <c r="C129" s="135"/>
      <c r="D129" s="102"/>
      <c r="E129" s="105" t="str">
        <f>IF(OR(ISBLANK(Term2_Special_Day_1[[#This Row],[Start]]),ISBLANK(Term2_Special_Day_1[[#This Row],[End]])),"",(Term2_Special_Day_1[[#This Row],[End]]-Term2_Special_Day_1[[#This Row],[Start]])*1440)</f>
        <v/>
      </c>
      <c r="F129" s="105" t="str">
        <f>IF(ISBLANK(Term2_Special_Day_1[[#This Row],[Activity]]),"",IF(_xlfn.XLOOKUP(Term2_Special_Day_1[[#This Row],[Activity]],Types_of_Activity[Type of Activity],Types_of_Activity[Classification])=1,Term2_Special_Day_1[[#This Row],[Elapsed]],0))</f>
        <v/>
      </c>
      <c r="G129" s="105" t="str">
        <f>IF(ISBLANK(Term2_Special_Day_1[[#This Row],[Activity]]),"",IF(_xlfn.XLOOKUP(Term2_Special_Day_1[[#This Row],[Activity]],Types_of_Activity[Type of Activity],Types_of_Activity[Classification])=2,Term2_Special_Day_1[[#This Row],[Elapsed]],0))</f>
        <v/>
      </c>
      <c r="H129"/>
      <c r="I129" s="135"/>
      <c r="J129" s="135"/>
      <c r="K129" s="102"/>
      <c r="L129" s="105" t="str">
        <f>IF(OR(ISBLANK(Term2_Special_Day_2[[#This Row],[Start]]),ISBLANK(Term2_Special_Day_2[[#This Row],[End]])),"",(Term2_Special_Day_2[[#This Row],[End]]-Term2_Special_Day_2[[#This Row],[Start]])*1440)</f>
        <v/>
      </c>
      <c r="M129" s="105" t="str">
        <f>IF(ISBLANK(Term2_Special_Day_2[[#This Row],[Activity]]),"",IF(_xlfn.XLOOKUP(Term2_Special_Day_2[[#This Row],[Activity]],Types_of_Activity[Type of Activity],Types_of_Activity[Classification])=1,Term2_Special_Day_2[[#This Row],[Elapsed]],0))</f>
        <v/>
      </c>
      <c r="N129" s="105" t="str">
        <f>IF(ISBLANK(Term2_Special_Day_2[[#This Row],[Activity]]),"",IF(_xlfn.XLOOKUP(Term2_Special_Day_2[[#This Row],[Activity]],Types_of_Activity[Type of Activity],Types_of_Activity[Classification])=2,Term2_Special_Day_2[[#This Row],[Elapsed]],0))</f>
        <v/>
      </c>
      <c r="O129"/>
      <c r="P129" s="135"/>
      <c r="Q129" s="135"/>
      <c r="R129" s="102"/>
      <c r="S129" s="105" t="str">
        <f>IF(OR(ISBLANK(Term2_Special_Day_3[[#This Row],[Start]]),ISBLANK(Term2_Special_Day_3[[#This Row],[End]])),"",(Term2_Special_Day_3[[#This Row],[End]]-Term2_Special_Day_3[[#This Row],[Start]])*1440)</f>
        <v/>
      </c>
      <c r="T129" s="105" t="str">
        <f>IF(ISBLANK(Term2_Special_Day_3[[#This Row],[Activity]]),"",IF(_xlfn.XLOOKUP(Term2_Special_Day_3[[#This Row],[Activity]],Types_of_Activity[Type of Activity],Types_of_Activity[Classification])=1,Term2_Special_Day_3[[#This Row],[Elapsed]],0))</f>
        <v/>
      </c>
      <c r="U129" s="105" t="str">
        <f>IF(ISBLANK(Term2_Special_Day_3[[#This Row],[Activity]]),"",IF(_xlfn.XLOOKUP(Term2_Special_Day_3[[#This Row],[Activity]],Types_of_Activity[Type of Activity],Types_of_Activity[Classification])=2,Term2_Special_Day_3[[#This Row],[Elapsed]],0))</f>
        <v/>
      </c>
    </row>
    <row r="130" spans="2:21" x14ac:dyDescent="0.3">
      <c r="B130" s="135"/>
      <c r="C130" s="135"/>
      <c r="D130" s="102"/>
      <c r="E130" s="105" t="str">
        <f>IF(OR(ISBLANK(Term2_Special_Day_1[[#This Row],[Start]]),ISBLANK(Term2_Special_Day_1[[#This Row],[End]])),"",(Term2_Special_Day_1[[#This Row],[End]]-Term2_Special_Day_1[[#This Row],[Start]])*1440)</f>
        <v/>
      </c>
      <c r="F130" s="105" t="str">
        <f>IF(ISBLANK(Term2_Special_Day_1[[#This Row],[Activity]]),"",IF(_xlfn.XLOOKUP(Term2_Special_Day_1[[#This Row],[Activity]],Types_of_Activity[Type of Activity],Types_of_Activity[Classification])=1,Term2_Special_Day_1[[#This Row],[Elapsed]],0))</f>
        <v/>
      </c>
      <c r="G130" s="105" t="str">
        <f>IF(ISBLANK(Term2_Special_Day_1[[#This Row],[Activity]]),"",IF(_xlfn.XLOOKUP(Term2_Special_Day_1[[#This Row],[Activity]],Types_of_Activity[Type of Activity],Types_of_Activity[Classification])=2,Term2_Special_Day_1[[#This Row],[Elapsed]],0))</f>
        <v/>
      </c>
      <c r="H130"/>
      <c r="I130" s="135"/>
      <c r="J130" s="135"/>
      <c r="K130" s="102"/>
      <c r="L130" s="105" t="str">
        <f>IF(OR(ISBLANK(Term2_Special_Day_2[[#This Row],[Start]]),ISBLANK(Term2_Special_Day_2[[#This Row],[End]])),"",(Term2_Special_Day_2[[#This Row],[End]]-Term2_Special_Day_2[[#This Row],[Start]])*1440)</f>
        <v/>
      </c>
      <c r="M130" s="105" t="str">
        <f>IF(ISBLANK(Term2_Special_Day_2[[#This Row],[Activity]]),"",IF(_xlfn.XLOOKUP(Term2_Special_Day_2[[#This Row],[Activity]],Types_of_Activity[Type of Activity],Types_of_Activity[Classification])=1,Term2_Special_Day_2[[#This Row],[Elapsed]],0))</f>
        <v/>
      </c>
      <c r="N130" s="105" t="str">
        <f>IF(ISBLANK(Term2_Special_Day_2[[#This Row],[Activity]]),"",IF(_xlfn.XLOOKUP(Term2_Special_Day_2[[#This Row],[Activity]],Types_of_Activity[Type of Activity],Types_of_Activity[Classification])=2,Term2_Special_Day_2[[#This Row],[Elapsed]],0))</f>
        <v/>
      </c>
      <c r="O130"/>
      <c r="P130" s="135"/>
      <c r="Q130" s="135"/>
      <c r="R130" s="102"/>
      <c r="S130" s="105" t="str">
        <f>IF(OR(ISBLANK(Term2_Special_Day_3[[#This Row],[Start]]),ISBLANK(Term2_Special_Day_3[[#This Row],[End]])),"",(Term2_Special_Day_3[[#This Row],[End]]-Term2_Special_Day_3[[#This Row],[Start]])*1440)</f>
        <v/>
      </c>
      <c r="T130" s="105" t="str">
        <f>IF(ISBLANK(Term2_Special_Day_3[[#This Row],[Activity]]),"",IF(_xlfn.XLOOKUP(Term2_Special_Day_3[[#This Row],[Activity]],Types_of_Activity[Type of Activity],Types_of_Activity[Classification])=1,Term2_Special_Day_3[[#This Row],[Elapsed]],0))</f>
        <v/>
      </c>
      <c r="U130" s="105" t="str">
        <f>IF(ISBLANK(Term2_Special_Day_3[[#This Row],[Activity]]),"",IF(_xlfn.XLOOKUP(Term2_Special_Day_3[[#This Row],[Activity]],Types_of_Activity[Type of Activity],Types_of_Activity[Classification])=2,Term2_Special_Day_3[[#This Row],[Elapsed]],0))</f>
        <v/>
      </c>
    </row>
    <row r="131" spans="2:21" x14ac:dyDescent="0.3">
      <c r="B131" s="135"/>
      <c r="C131" s="135"/>
      <c r="D131" s="102"/>
      <c r="E131" s="105" t="str">
        <f>IF(OR(ISBLANK(Term2_Special_Day_1[[#This Row],[Start]]),ISBLANK(Term2_Special_Day_1[[#This Row],[End]])),"",(Term2_Special_Day_1[[#This Row],[End]]-Term2_Special_Day_1[[#This Row],[Start]])*1440)</f>
        <v/>
      </c>
      <c r="F131" s="105" t="str">
        <f>IF(ISBLANK(Term2_Special_Day_1[[#This Row],[Activity]]),"",IF(_xlfn.XLOOKUP(Term2_Special_Day_1[[#This Row],[Activity]],Types_of_Activity[Type of Activity],Types_of_Activity[Classification])=1,Term2_Special_Day_1[[#This Row],[Elapsed]],0))</f>
        <v/>
      </c>
      <c r="G131" s="105" t="str">
        <f>IF(ISBLANK(Term2_Special_Day_1[[#This Row],[Activity]]),"",IF(_xlfn.XLOOKUP(Term2_Special_Day_1[[#This Row],[Activity]],Types_of_Activity[Type of Activity],Types_of_Activity[Classification])=2,Term2_Special_Day_1[[#This Row],[Elapsed]],0))</f>
        <v/>
      </c>
      <c r="H131"/>
      <c r="I131" s="135"/>
      <c r="J131" s="135"/>
      <c r="K131" s="102"/>
      <c r="L131" s="105" t="str">
        <f>IF(OR(ISBLANK(Term2_Special_Day_2[[#This Row],[Start]]),ISBLANK(Term2_Special_Day_2[[#This Row],[End]])),"",(Term2_Special_Day_2[[#This Row],[End]]-Term2_Special_Day_2[[#This Row],[Start]])*1440)</f>
        <v/>
      </c>
      <c r="M131" s="105" t="str">
        <f>IF(ISBLANK(Term2_Special_Day_2[[#This Row],[Activity]]),"",IF(_xlfn.XLOOKUP(Term2_Special_Day_2[[#This Row],[Activity]],Types_of_Activity[Type of Activity],Types_of_Activity[Classification])=1,Term2_Special_Day_2[[#This Row],[Elapsed]],0))</f>
        <v/>
      </c>
      <c r="N131" s="105" t="str">
        <f>IF(ISBLANK(Term2_Special_Day_2[[#This Row],[Activity]]),"",IF(_xlfn.XLOOKUP(Term2_Special_Day_2[[#This Row],[Activity]],Types_of_Activity[Type of Activity],Types_of_Activity[Classification])=2,Term2_Special_Day_2[[#This Row],[Elapsed]],0))</f>
        <v/>
      </c>
      <c r="O131"/>
      <c r="P131" s="135"/>
      <c r="Q131" s="135"/>
      <c r="R131" s="102"/>
      <c r="S131" s="105" t="str">
        <f>IF(OR(ISBLANK(Term2_Special_Day_3[[#This Row],[Start]]),ISBLANK(Term2_Special_Day_3[[#This Row],[End]])),"",(Term2_Special_Day_3[[#This Row],[End]]-Term2_Special_Day_3[[#This Row],[Start]])*1440)</f>
        <v/>
      </c>
      <c r="T131" s="105" t="str">
        <f>IF(ISBLANK(Term2_Special_Day_3[[#This Row],[Activity]]),"",IF(_xlfn.XLOOKUP(Term2_Special_Day_3[[#This Row],[Activity]],Types_of_Activity[Type of Activity],Types_of_Activity[Classification])=1,Term2_Special_Day_3[[#This Row],[Elapsed]],0))</f>
        <v/>
      </c>
      <c r="U131" s="105" t="str">
        <f>IF(ISBLANK(Term2_Special_Day_3[[#This Row],[Activity]]),"",IF(_xlfn.XLOOKUP(Term2_Special_Day_3[[#This Row],[Activity]],Types_of_Activity[Type of Activity],Types_of_Activity[Classification])=2,Term2_Special_Day_3[[#This Row],[Elapsed]],0))</f>
        <v/>
      </c>
    </row>
  </sheetData>
  <sheetProtection algorithmName="SHA-512" hashValue="jgGLZ9vc6GwQaRssTysvGhu2D5MW7dZV9g/tKVX+GLjjRDrY2oN3kS5ahuyrUSRQbhs8PXQqMUMKkvynG95xEg==" saltValue="Xi2nkHa96dowgQlnfmMI2Q==" spinCount="100000" sheet="1" selectLockedCells="1"/>
  <mergeCells count="1">
    <mergeCell ref="B14:N14"/>
  </mergeCells>
  <conditionalFormatting sqref="B14:N14">
    <cfRule type="expression" dxfId="5" priority="1">
      <formula>Num_Terms=1</formula>
    </cfRule>
  </conditionalFormatting>
  <dataValidations count="1">
    <dataValidation type="time" allowBlank="1" showInputMessage="1" showErrorMessage="1" sqref="B57:C69 AY18:AZ31 B18:C50 W18:X31 AD18:AE31 BF18:BG31 I18:J31 P18:Q31 AK18:AL31 AR18:AS31 BM18:BN31 W57:X69 AD57:AE69 AK57:AL69" xr:uid="{07D47637-A8C7-435A-A046-86ABD396F379}">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ECBB515C-3A8C-4E45-B60E-714460C78715}">
          <x14:formula1>
            <xm:f>_xlfn.ANCHORARRAY(Parameters!$F$25)</xm:f>
          </x14:formula1>
          <xm:sqref>BA18:BA50 R57:R89 D57:D89 Y18:Y50 AF18:AF50 BH18:BH50 D18:D50 K99:K131 R99:R131 K57:K89 R18:R50 K18:K50 D99:D131 AM18:AM50 AT18:AT50 BO18:BO50 Y57:Y89 AF57:AF89 AM57:AM89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2D6F-C9B1-435C-9F54-9EF5406AEEED}">
  <dimension ref="B14:BS131"/>
  <sheetViews>
    <sheetView showGridLines="0" showRowColHeaders="0" workbookViewId="0">
      <selection activeCell="C9" sqref="C9"/>
    </sheetView>
  </sheetViews>
  <sheetFormatPr defaultColWidth="9" defaultRowHeight="14.4" x14ac:dyDescent="0.3"/>
  <cols>
    <col min="1" max="1" width="9" style="103"/>
    <col min="2" max="3" width="12.77734375" style="103" customWidth="1"/>
    <col min="4" max="4" width="19.6640625" style="103" customWidth="1"/>
    <col min="5" max="5" width="12.6640625" style="103" customWidth="1"/>
    <col min="6" max="7" width="19.77734375" style="103" customWidth="1"/>
    <col min="8" max="8" width="9" style="103"/>
    <col min="9" max="10" width="12.77734375" style="103" customWidth="1"/>
    <col min="11" max="11" width="19.6640625" style="103" customWidth="1"/>
    <col min="12" max="12" width="12.6640625" style="103" customWidth="1"/>
    <col min="13" max="14" width="19.77734375" style="103" customWidth="1"/>
    <col min="15" max="15" width="9" style="103"/>
    <col min="16" max="17" width="12.77734375" style="103" customWidth="1"/>
    <col min="18" max="18" width="19.6640625" style="103" customWidth="1"/>
    <col min="19" max="19" width="12.6640625" style="103" customWidth="1"/>
    <col min="20" max="21" width="19.77734375" style="103" customWidth="1"/>
    <col min="22" max="22" width="10.33203125" style="103" customWidth="1"/>
    <col min="23" max="24" width="12.77734375" style="103" customWidth="1"/>
    <col min="25" max="25" width="19.6640625" style="103" customWidth="1"/>
    <col min="26" max="26" width="12.6640625" style="103" customWidth="1"/>
    <col min="27" max="28" width="19.77734375" style="103" customWidth="1"/>
    <col min="29" max="29" width="9" style="103"/>
    <col min="30" max="31" width="12.77734375" style="103" customWidth="1"/>
    <col min="32" max="32" width="19.6640625" style="103" customWidth="1"/>
    <col min="33" max="33" width="12.6640625" style="103" customWidth="1"/>
    <col min="34" max="35" width="19.77734375" style="103" customWidth="1"/>
    <col min="36" max="36" width="9" style="103" customWidth="1"/>
    <col min="37" max="38" width="12.77734375" style="103" customWidth="1"/>
    <col min="39" max="39" width="19.6640625" style="103" customWidth="1"/>
    <col min="40" max="40" width="12.6640625" style="103" customWidth="1"/>
    <col min="41" max="42" width="19.77734375" style="103" customWidth="1"/>
    <col min="43" max="43" width="9" style="103" customWidth="1"/>
    <col min="44" max="45" width="12.77734375" style="103" customWidth="1"/>
    <col min="46" max="46" width="19.77734375" style="103" customWidth="1"/>
    <col min="47" max="47" width="12.77734375" style="103" customWidth="1"/>
    <col min="48" max="49" width="19.77734375" style="103" customWidth="1"/>
    <col min="50" max="50" width="9" style="103" customWidth="1"/>
    <col min="51" max="52" width="12.77734375" style="103" customWidth="1"/>
    <col min="53" max="53" width="19.77734375" style="103" customWidth="1"/>
    <col min="54" max="54" width="12.77734375" style="103" customWidth="1"/>
    <col min="55" max="56" width="19.77734375" style="103" customWidth="1"/>
    <col min="57" max="57" width="9" style="103" customWidth="1"/>
    <col min="58" max="59" width="12.77734375" style="103" customWidth="1"/>
    <col min="60" max="60" width="19.77734375" style="103" customWidth="1"/>
    <col min="61" max="61" width="12.77734375" style="103" customWidth="1"/>
    <col min="62" max="63" width="19.77734375" style="103" customWidth="1"/>
    <col min="64" max="64" width="9" style="103" customWidth="1"/>
    <col min="65" max="66" width="12.77734375" style="103" customWidth="1"/>
    <col min="67" max="67" width="19.6640625" style="103" customWidth="1"/>
    <col min="68" max="68" width="12.6640625" style="103" customWidth="1"/>
    <col min="69" max="70" width="19.77734375" style="103" customWidth="1"/>
    <col min="71" max="71" width="9" style="103" customWidth="1"/>
    <col min="72" max="74" width="12.6640625" style="103" customWidth="1"/>
    <col min="75" max="75" width="18.6640625" style="103" customWidth="1"/>
    <col min="76" max="76" width="20.6640625" style="103" customWidth="1"/>
    <col min="77" max="77" width="18.44140625" style="103" customWidth="1"/>
    <col min="78" max="81" width="9" style="103"/>
    <col min="82" max="82" width="12.109375" style="103" customWidth="1"/>
    <col min="83" max="83" width="16.21875" style="103" customWidth="1"/>
    <col min="84" max="16384" width="9" style="103"/>
  </cols>
  <sheetData>
    <row r="14" spans="2:70" ht="27.75" customHeight="1" x14ac:dyDescent="0.5">
      <c r="B14" s="167" t="str">
        <f>IF(OR(Num_Terms=1,Num_Terms=2),_xlfn.CONCAT("STOP. You indicated that your calendar uses ",Num_Terms," term(s). If your calendar uses 3 terms, update the setting on the first page."),"")</f>
        <v/>
      </c>
      <c r="C14" s="167"/>
      <c r="D14" s="167"/>
      <c r="E14" s="167"/>
      <c r="F14" s="167"/>
      <c r="G14" s="167"/>
      <c r="H14" s="167"/>
      <c r="I14" s="167"/>
      <c r="J14" s="167"/>
      <c r="K14" s="167"/>
      <c r="L14" s="167"/>
      <c r="M14" s="167"/>
      <c r="N14" s="167"/>
    </row>
    <row r="16" spans="2:70" ht="30.6" x14ac:dyDescent="0.55000000000000004">
      <c r="B16" s="104" t="s">
        <v>9</v>
      </c>
      <c r="F16" s="105"/>
      <c r="G16" s="105"/>
      <c r="I16" s="104" t="s">
        <v>10</v>
      </c>
      <c r="M16" s="105"/>
      <c r="N16" s="105"/>
      <c r="P16" s="104" t="s">
        <v>11</v>
      </c>
      <c r="T16" s="105"/>
      <c r="U16" s="105"/>
      <c r="W16" s="104" t="s">
        <v>12</v>
      </c>
      <c r="AA16" s="105"/>
      <c r="AB16" s="105"/>
      <c r="AD16" s="104" t="s">
        <v>13</v>
      </c>
      <c r="AH16" s="105"/>
      <c r="AI16" s="105"/>
      <c r="AK16" s="104" t="s">
        <v>14</v>
      </c>
      <c r="AO16" s="105"/>
      <c r="AP16" s="105"/>
      <c r="AR16" s="104" t="s">
        <v>4099</v>
      </c>
      <c r="AV16" s="105"/>
      <c r="AW16" s="105"/>
      <c r="AY16" s="104" t="s">
        <v>4100</v>
      </c>
      <c r="BC16" s="105"/>
      <c r="BD16" s="105"/>
      <c r="BF16" s="104" t="s">
        <v>4101</v>
      </c>
      <c r="BJ16" s="105"/>
      <c r="BK16" s="105"/>
      <c r="BM16" s="104" t="s">
        <v>15</v>
      </c>
      <c r="BQ16" s="105"/>
      <c r="BR16" s="105"/>
    </row>
    <row r="17" spans="2:71" ht="28.8" x14ac:dyDescent="0.3">
      <c r="B17" s="119" t="s">
        <v>16</v>
      </c>
      <c r="C17" s="119" t="s">
        <v>17</v>
      </c>
      <c r="D17" s="119" t="s">
        <v>19</v>
      </c>
      <c r="E17" s="119" t="s">
        <v>18</v>
      </c>
      <c r="F17" s="119" t="s">
        <v>20</v>
      </c>
      <c r="G17" s="120" t="s">
        <v>4075</v>
      </c>
      <c r="I17" s="119" t="s">
        <v>16</v>
      </c>
      <c r="J17" s="119" t="s">
        <v>17</v>
      </c>
      <c r="K17" s="119" t="s">
        <v>19</v>
      </c>
      <c r="L17" s="119" t="s">
        <v>18</v>
      </c>
      <c r="M17" s="119" t="s">
        <v>20</v>
      </c>
      <c r="N17" s="120" t="s">
        <v>4075</v>
      </c>
      <c r="P17" s="119" t="s">
        <v>16</v>
      </c>
      <c r="Q17" s="119" t="s">
        <v>17</v>
      </c>
      <c r="R17" s="119" t="s">
        <v>19</v>
      </c>
      <c r="S17" s="119" t="s">
        <v>18</v>
      </c>
      <c r="T17" s="119" t="s">
        <v>20</v>
      </c>
      <c r="U17" s="120" t="s">
        <v>4075</v>
      </c>
      <c r="W17" s="119" t="s">
        <v>16</v>
      </c>
      <c r="X17" s="119" t="s">
        <v>17</v>
      </c>
      <c r="Y17" s="119" t="s">
        <v>19</v>
      </c>
      <c r="Z17" s="119" t="s">
        <v>18</v>
      </c>
      <c r="AA17" s="119" t="s">
        <v>20</v>
      </c>
      <c r="AB17" s="120" t="s">
        <v>4075</v>
      </c>
      <c r="AD17" s="119" t="s">
        <v>16</v>
      </c>
      <c r="AE17" s="119" t="s">
        <v>17</v>
      </c>
      <c r="AF17" s="119" t="s">
        <v>19</v>
      </c>
      <c r="AG17" s="119" t="s">
        <v>18</v>
      </c>
      <c r="AH17" s="119" t="s">
        <v>20</v>
      </c>
      <c r="AI17" s="120" t="s">
        <v>4075</v>
      </c>
      <c r="AK17" s="119" t="s">
        <v>16</v>
      </c>
      <c r="AL17" s="119" t="s">
        <v>17</v>
      </c>
      <c r="AM17" s="119" t="s">
        <v>19</v>
      </c>
      <c r="AN17" s="119" t="s">
        <v>18</v>
      </c>
      <c r="AO17" s="119" t="s">
        <v>20</v>
      </c>
      <c r="AP17" s="120" t="s">
        <v>4075</v>
      </c>
      <c r="AR17" s="119" t="s">
        <v>16</v>
      </c>
      <c r="AS17" s="119" t="s">
        <v>17</v>
      </c>
      <c r="AT17" s="119" t="s">
        <v>19</v>
      </c>
      <c r="AU17" s="119" t="s">
        <v>18</v>
      </c>
      <c r="AV17" s="119" t="s">
        <v>20</v>
      </c>
      <c r="AW17" s="120" t="s">
        <v>4075</v>
      </c>
      <c r="AY17" s="119" t="s">
        <v>16</v>
      </c>
      <c r="AZ17" s="119" t="s">
        <v>17</v>
      </c>
      <c r="BA17" s="119" t="s">
        <v>19</v>
      </c>
      <c r="BB17" s="119" t="s">
        <v>18</v>
      </c>
      <c r="BC17" s="119" t="s">
        <v>20</v>
      </c>
      <c r="BD17" s="120" t="s">
        <v>4075</v>
      </c>
      <c r="BF17" s="119" t="s">
        <v>16</v>
      </c>
      <c r="BG17" s="119" t="s">
        <v>17</v>
      </c>
      <c r="BH17" s="119" t="s">
        <v>19</v>
      </c>
      <c r="BI17" s="119" t="s">
        <v>18</v>
      </c>
      <c r="BJ17" s="119" t="s">
        <v>20</v>
      </c>
      <c r="BK17" s="120" t="s">
        <v>4075</v>
      </c>
      <c r="BM17" s="119" t="s">
        <v>16</v>
      </c>
      <c r="BN17" s="119" t="s">
        <v>17</v>
      </c>
      <c r="BO17" s="119" t="s">
        <v>19</v>
      </c>
      <c r="BP17" s="119" t="s">
        <v>18</v>
      </c>
      <c r="BQ17" s="119" t="s">
        <v>20</v>
      </c>
      <c r="BR17" s="120" t="s">
        <v>4075</v>
      </c>
    </row>
    <row r="18" spans="2:71" x14ac:dyDescent="0.3">
      <c r="B18" s="135"/>
      <c r="C18" s="135"/>
      <c r="D18" s="102"/>
      <c r="E18" s="105" t="str">
        <f>IF(OR(ISBLANK(Term3_Day_1[[#This Row],[Start]]),ISBLANK(Term3_Day_1[[#This Row],[End]])),"",(Term3_Day_1[[#This Row],[End]]-Term3_Day_1[[#This Row],[Start]])*1440)</f>
        <v/>
      </c>
      <c r="F18" s="105" t="str">
        <f>IF(ISBLANK(Term3_Day_1[[#This Row],[Activity]]),"",IF(_xlfn.XLOOKUP(Term3_Day_1[[#This Row],[Activity]],Types_of_Activity[Type of Activity],Types_of_Activity[Classification])=1,Term3_Day_1[[#This Row],[Elapsed]],0))</f>
        <v/>
      </c>
      <c r="G18" s="105" t="str">
        <f>IF(ISBLANK(Term3_Day_1[[#This Row],[Activity]]),"",IF(_xlfn.XLOOKUP(Term3_Day_1[[#This Row],[Activity]],Types_of_Activity[Type of Activity],Types_of_Activity[Classification])=2,Term3_Day_1[[#This Row],[Elapsed]],0))</f>
        <v/>
      </c>
      <c r="I18" s="135"/>
      <c r="J18" s="135"/>
      <c r="K18" s="102"/>
      <c r="L18" s="105" t="str">
        <f>IF(OR(ISBLANK(Term3_Day_2[[#This Row],[Start]]),ISBLANK(Term3_Day_2[[#This Row],[End]])),"",(Term3_Day_2[[#This Row],[End]]-Term3_Day_2[[#This Row],[Start]])*1440)</f>
        <v/>
      </c>
      <c r="M18" s="105" t="str">
        <f>IF(ISBLANK(Term3_Day_2[[#This Row],[Activity]]),"",IF(_xlfn.XLOOKUP(Term3_Day_2[[#This Row],[Activity]],Types_of_Activity[Type of Activity],Types_of_Activity[Classification])=1,Term3_Day_2[[#This Row],[Elapsed]],0))</f>
        <v/>
      </c>
      <c r="N18" s="105" t="str">
        <f>IF(ISBLANK(Term3_Day_2[[#This Row],[Activity]]),"",IF(_xlfn.XLOOKUP(Term3_Day_2[[#This Row],[Activity]],Types_of_Activity[Type of Activity],Types_of_Activity[Classification])=2,Term3_Day_2[[#This Row],[Elapsed]],0))</f>
        <v/>
      </c>
      <c r="P18" s="135"/>
      <c r="Q18" s="135"/>
      <c r="R18" s="102"/>
      <c r="S18" s="105" t="str">
        <f>IF(OR(ISBLANK(Term3_Day_3[[#This Row],[Start]]),ISBLANK(Term3_Day_3[[#This Row],[End]])),"",(Term3_Day_3[[#This Row],[End]]-Term3_Day_3[[#This Row],[Start]])*1440)</f>
        <v/>
      </c>
      <c r="T18" s="105" t="str">
        <f>IF(ISBLANK(Term3_Day_3[[#This Row],[Activity]]),"",IF(_xlfn.XLOOKUP(Term3_Day_3[[#This Row],[Activity]],Types_of_Activity[Type of Activity],Types_of_Activity[Classification])=1,Term3_Day_3[[#This Row],[Elapsed]],0))</f>
        <v/>
      </c>
      <c r="U18" s="105" t="str">
        <f>IF(ISBLANK(Term3_Day_3[[#This Row],[Activity]]),"",IF(_xlfn.XLOOKUP(Term3_Day_3[[#This Row],[Activity]],Types_of_Activity[Type of Activity],Types_of_Activity[Classification])=2,Term3_Day_3[[#This Row],[Elapsed]],0))</f>
        <v/>
      </c>
      <c r="W18" s="135"/>
      <c r="X18" s="135"/>
      <c r="Y18" s="102"/>
      <c r="Z18" s="105" t="str">
        <f>IF(OR(ISBLANK(Term3_Day_4[[#This Row],[Start]]),ISBLANK(Term3_Day_4[[#This Row],[End]])),"",(Term3_Day_4[[#This Row],[End]]-Term3_Day_4[[#This Row],[Start]])*1440)</f>
        <v/>
      </c>
      <c r="AA18" s="105" t="str">
        <f>IF(ISBLANK(Term3_Day_4[[#This Row],[Activity]]),"",IF(_xlfn.XLOOKUP(Term3_Day_4[[#This Row],[Activity]],Types_of_Activity[Type of Activity],Types_of_Activity[Classification])=1,Term3_Day_4[[#This Row],[Elapsed]],0))</f>
        <v/>
      </c>
      <c r="AB18" s="105" t="str">
        <f>IF(ISBLANK(Term3_Day_4[[#This Row],[Activity]]),"",IF(_xlfn.XLOOKUP(Term3_Day_4[[#This Row],[Activity]],Types_of_Activity[Type of Activity],Types_of_Activity[Classification])=2,Term3_Day_4[[#This Row],[Elapsed]],0))</f>
        <v/>
      </c>
      <c r="AD18" s="135"/>
      <c r="AE18" s="135"/>
      <c r="AF18" s="102"/>
      <c r="AG18" s="105" t="str">
        <f>IF(OR(ISBLANK(Term3_Day_5[[#This Row],[Start]]),ISBLANK(Term3_Day_5[[#This Row],[End]])),"",(Term3_Day_5[[#This Row],[End]]-Term3_Day_5[[#This Row],[Start]])*1440)</f>
        <v/>
      </c>
      <c r="AH18" s="105" t="str">
        <f>IF(ISBLANK(Term3_Day_5[[#This Row],[Activity]]),"",IF(_xlfn.XLOOKUP(Term3_Day_5[[#This Row],[Activity]],Types_of_Activity[Type of Activity],Types_of_Activity[Classification])=1,Term3_Day_5[[#This Row],[Elapsed]],0))</f>
        <v/>
      </c>
      <c r="AI18" s="105" t="str">
        <f>IF(ISBLANK(Term3_Day_5[[#This Row],[Activity]]),"",IF(_xlfn.XLOOKUP(Term3_Day_5[[#This Row],[Activity]],Types_of_Activity[Type of Activity],Types_of_Activity[Classification])=2,Term3_Day_5[[#This Row],[Elapsed]],0))</f>
        <v/>
      </c>
      <c r="AK18" s="135"/>
      <c r="AL18" s="135"/>
      <c r="AM18" s="102"/>
      <c r="AN18" s="105" t="str">
        <f>IF(OR(ISBLANK(Term3_Day_6[[#This Row],[Start]]),ISBLANK(Term3_Day_6[[#This Row],[End]])),"",(Term3_Day_6[[#This Row],[End]]-Term3_Day_6[[#This Row],[Start]])*1440)</f>
        <v/>
      </c>
      <c r="AO18" s="105" t="str">
        <f>IF(ISBLANK(Term3_Day_6[[#This Row],[Activity]]),"",IF(_xlfn.XLOOKUP(Term3_Day_6[[#This Row],[Activity]],Types_of_Activity[Type of Activity],Types_of_Activity[Classification])=1,Term3_Day_6[[#This Row],[Elapsed]],0))</f>
        <v/>
      </c>
      <c r="AP18" s="105" t="str">
        <f>IF(ISBLANK(Term3_Day_6[[#This Row],[Activity]]),"",IF(_xlfn.XLOOKUP(Term3_Day_6[[#This Row],[Activity]],Types_of_Activity[Type of Activity],Types_of_Activity[Classification])=2,Term3_Day_6[[#This Row],[Elapsed]],0))</f>
        <v/>
      </c>
      <c r="AR18" s="135"/>
      <c r="AS18" s="135"/>
      <c r="AT18" s="102"/>
      <c r="AU18" s="105" t="str">
        <f>IF(OR(ISBLANK(Term3_Day_7[[#This Row],[Start]]),ISBLANK(Term3_Day_7[[#This Row],[End]])),"",(Term3_Day_7[[#This Row],[End]]-Term3_Day_7[[#This Row],[Start]])*1440)</f>
        <v/>
      </c>
      <c r="AV18" s="105" t="str">
        <f>IF(ISBLANK(Term3_Day_7[[#This Row],[Activity]]),"",IF(_xlfn.XLOOKUP(Term3_Day_7[[#This Row],[Activity]],Types_of_Activity[Type of Activity],Types_of_Activity[Classification])=1,Term3_Day_7[[#This Row],[Elapsed]],0))</f>
        <v/>
      </c>
      <c r="AW18" s="105" t="str">
        <f>IF(ISBLANK(Term3_Day_7[[#This Row],[Activity]]),"",IF(_xlfn.XLOOKUP(Term3_Day_7[[#This Row],[Activity]],Types_of_Activity[Type of Activity],Types_of_Activity[Classification])=2,Term3_Day_7[[#This Row],[Elapsed]],0))</f>
        <v/>
      </c>
      <c r="AY18" s="135"/>
      <c r="AZ18" s="135"/>
      <c r="BA18" s="102"/>
      <c r="BB18" s="105" t="str">
        <f>IF(OR(ISBLANK(Term3_Day_8[[#This Row],[Start]]),ISBLANK(Term3_Day_8[[#This Row],[End]])),"",(Term3_Day_8[[#This Row],[End]]-Term3_Day_8[[#This Row],[Start]])*1440)</f>
        <v/>
      </c>
      <c r="BC18" s="105" t="str">
        <f>IF(ISBLANK(Term3_Day_8[[#This Row],[Activity]]),"",IF(_xlfn.XLOOKUP(Term3_Day_8[[#This Row],[Activity]],Types_of_Activity[Type of Activity],Types_of_Activity[Classification])=1,Term3_Day_8[[#This Row],[Elapsed]],0))</f>
        <v/>
      </c>
      <c r="BD18" s="105" t="str">
        <f>IF(ISBLANK(Term3_Day_8[[#This Row],[Activity]]),"",IF(_xlfn.XLOOKUP(Term3_Day_8[[#This Row],[Activity]],Types_of_Activity[Type of Activity],Types_of_Activity[Classification])=2,Term3_Day_8[[#This Row],[Elapsed]],0))</f>
        <v/>
      </c>
      <c r="BF18" s="135"/>
      <c r="BG18" s="135"/>
      <c r="BH18" s="102"/>
      <c r="BI18" s="105" t="str">
        <f>IF(OR(ISBLANK(Term3_Day_9[[#This Row],[Start]]),ISBLANK(Term3_Day_9[[#This Row],[End]])),"",(Term3_Day_9[[#This Row],[End]]-Term3_Day_9[[#This Row],[Start]])*1440)</f>
        <v/>
      </c>
      <c r="BJ18" s="105" t="str">
        <f>IF(ISBLANK(Term3_Day_9[[#This Row],[Activity]]),"",IF(_xlfn.XLOOKUP(Term3_Day_9[[#This Row],[Activity]],Types_of_Activity[Type of Activity],Types_of_Activity[Classification])=1,Term3_Day_9[[#This Row],[Elapsed]],0))</f>
        <v/>
      </c>
      <c r="BK18" s="105" t="str">
        <f>IF(ISBLANK(Term3_Day_9[[#This Row],[Activity]]),"",IF(_xlfn.XLOOKUP(Term3_Day_9[[#This Row],[Activity]],Types_of_Activity[Type of Activity],Types_of_Activity[Classification])=2,Term3_Day_9[[#This Row],[Elapsed]],0))</f>
        <v/>
      </c>
      <c r="BM18" s="135"/>
      <c r="BN18" s="135"/>
      <c r="BO18" s="102"/>
      <c r="BP18" s="105" t="str">
        <f>IF(OR(ISBLANK(Term3_Day_10[[#This Row],[Start]]),ISBLANK(Term3_Day_10[[#This Row],[End]])),"",(Term3_Day_10[[#This Row],[End]]-Term3_Day_10[[#This Row],[Start]])*1440)</f>
        <v/>
      </c>
      <c r="BQ18" s="105" t="str">
        <f>IF(ISBLANK(Term3_Day_10[[#This Row],[Activity]]),"",IF(_xlfn.XLOOKUP(Term3_Day_10[[#This Row],[Activity]],Types_of_Activity[Type of Activity],Types_of_Activity[Classification])=1,Term3_Day_10[[#This Row],[Elapsed]],0))</f>
        <v/>
      </c>
      <c r="BR18" s="105" t="str">
        <f>IF(ISBLANK(Term3_Day_10[[#This Row],[Activity]]),"",IF(_xlfn.XLOOKUP(Term3_Day_10[[#This Row],[Activity]],Types_of_Activity[Type of Activity],Types_of_Activity[Classification])=2,Term3_Day_10[[#This Row],[Elapsed]],0))</f>
        <v/>
      </c>
    </row>
    <row r="19" spans="2:71" x14ac:dyDescent="0.3">
      <c r="B19" s="135"/>
      <c r="C19" s="135"/>
      <c r="D19" s="102"/>
      <c r="E19" s="105" t="str">
        <f>IF(OR(ISBLANK(Term3_Day_1[[#This Row],[Start]]),ISBLANK(Term3_Day_1[[#This Row],[End]])),"",(Term3_Day_1[[#This Row],[End]]-Term3_Day_1[[#This Row],[Start]])*1440)</f>
        <v/>
      </c>
      <c r="F19" s="105" t="str">
        <f>IF(ISBLANK(Term3_Day_1[[#This Row],[Activity]]),"",IF(_xlfn.XLOOKUP(Term3_Day_1[[#This Row],[Activity]],Types_of_Activity[Type of Activity],Types_of_Activity[Classification])=1,Term3_Day_1[[#This Row],[Elapsed]],0))</f>
        <v/>
      </c>
      <c r="G19" s="105" t="str">
        <f>IF(ISBLANK(Term3_Day_1[[#This Row],[Activity]]),"",IF(_xlfn.XLOOKUP(Term3_Day_1[[#This Row],[Activity]],Types_of_Activity[Type of Activity],Types_of_Activity[Classification])=2,Term3_Day_1[[#This Row],[Elapsed]],0))</f>
        <v/>
      </c>
      <c r="I19" s="135"/>
      <c r="J19" s="135"/>
      <c r="K19" s="102"/>
      <c r="L19" s="105" t="str">
        <f>IF(OR(ISBLANK(Term3_Day_2[[#This Row],[Start]]),ISBLANK(Term3_Day_2[[#This Row],[End]])),"",(Term3_Day_2[[#This Row],[End]]-Term3_Day_2[[#This Row],[Start]])*1440)</f>
        <v/>
      </c>
      <c r="M19" s="105" t="str">
        <f>IF(ISBLANK(Term3_Day_2[[#This Row],[Activity]]),"",IF(_xlfn.XLOOKUP(Term3_Day_2[[#This Row],[Activity]],Types_of_Activity[Type of Activity],Types_of_Activity[Classification])=1,Term3_Day_2[[#This Row],[Elapsed]],0))</f>
        <v/>
      </c>
      <c r="N19" s="105" t="str">
        <f>IF(ISBLANK(Term3_Day_2[[#This Row],[Activity]]),"",IF(_xlfn.XLOOKUP(Term3_Day_2[[#This Row],[Activity]],Types_of_Activity[Type of Activity],Types_of_Activity[Classification])=2,Term3_Day_2[[#This Row],[Elapsed]],0))</f>
        <v/>
      </c>
      <c r="P19" s="135"/>
      <c r="Q19" s="135"/>
      <c r="R19" s="102"/>
      <c r="S19" s="105" t="str">
        <f>IF(OR(ISBLANK(Term3_Day_3[[#This Row],[Start]]),ISBLANK(Term3_Day_3[[#This Row],[End]])),"",(Term3_Day_3[[#This Row],[End]]-Term3_Day_3[[#This Row],[Start]])*1440)</f>
        <v/>
      </c>
      <c r="T19" s="105" t="str">
        <f>IF(ISBLANK(Term3_Day_3[[#This Row],[Activity]]),"",IF(_xlfn.XLOOKUP(Term3_Day_3[[#This Row],[Activity]],Types_of_Activity[Type of Activity],Types_of_Activity[Classification])=1,Term3_Day_3[[#This Row],[Elapsed]],0))</f>
        <v/>
      </c>
      <c r="U19" s="105" t="str">
        <f>IF(ISBLANK(Term3_Day_3[[#This Row],[Activity]]),"",IF(_xlfn.XLOOKUP(Term3_Day_3[[#This Row],[Activity]],Types_of_Activity[Type of Activity],Types_of_Activity[Classification])=2,Term3_Day_3[[#This Row],[Elapsed]],0))</f>
        <v/>
      </c>
      <c r="W19" s="135"/>
      <c r="X19" s="135"/>
      <c r="Y19" s="102"/>
      <c r="Z19" s="105" t="str">
        <f>IF(OR(ISBLANK(Term3_Day_4[[#This Row],[Start]]),ISBLANK(Term3_Day_4[[#This Row],[End]])),"",(Term3_Day_4[[#This Row],[End]]-Term3_Day_4[[#This Row],[Start]])*1440)</f>
        <v/>
      </c>
      <c r="AA19" s="105" t="str">
        <f>IF(ISBLANK(Term3_Day_4[[#This Row],[Activity]]),"",IF(_xlfn.XLOOKUP(Term3_Day_4[[#This Row],[Activity]],Types_of_Activity[Type of Activity],Types_of_Activity[Classification])=1,Term3_Day_4[[#This Row],[Elapsed]],0))</f>
        <v/>
      </c>
      <c r="AB19" s="105" t="str">
        <f>IF(ISBLANK(Term3_Day_4[[#This Row],[Activity]]),"",IF(_xlfn.XLOOKUP(Term3_Day_4[[#This Row],[Activity]],Types_of_Activity[Type of Activity],Types_of_Activity[Classification])=2,Term3_Day_4[[#This Row],[Elapsed]],0))</f>
        <v/>
      </c>
      <c r="AD19" s="135"/>
      <c r="AE19" s="135"/>
      <c r="AF19" s="102"/>
      <c r="AG19" s="105" t="str">
        <f>IF(OR(ISBLANK(Term3_Day_5[[#This Row],[Start]]),ISBLANK(Term3_Day_5[[#This Row],[End]])),"",(Term3_Day_5[[#This Row],[End]]-Term3_Day_5[[#This Row],[Start]])*1440)</f>
        <v/>
      </c>
      <c r="AH19" s="105" t="str">
        <f>IF(ISBLANK(Term3_Day_5[[#This Row],[Activity]]),"",IF(_xlfn.XLOOKUP(Term3_Day_5[[#This Row],[Activity]],Types_of_Activity[Type of Activity],Types_of_Activity[Classification])=1,Term3_Day_5[[#This Row],[Elapsed]],0))</f>
        <v/>
      </c>
      <c r="AI19" s="105" t="str">
        <f>IF(ISBLANK(Term3_Day_5[[#This Row],[Activity]]),"",IF(_xlfn.XLOOKUP(Term3_Day_5[[#This Row],[Activity]],Types_of_Activity[Type of Activity],Types_of_Activity[Classification])=2,Term3_Day_5[[#This Row],[Elapsed]],0))</f>
        <v/>
      </c>
      <c r="AK19" s="135"/>
      <c r="AL19" s="135"/>
      <c r="AM19" s="102"/>
      <c r="AN19" s="105" t="str">
        <f>IF(OR(ISBLANK(Term3_Day_6[[#This Row],[Start]]),ISBLANK(Term3_Day_6[[#This Row],[End]])),"",(Term3_Day_6[[#This Row],[End]]-Term3_Day_6[[#This Row],[Start]])*1440)</f>
        <v/>
      </c>
      <c r="AO19" s="105" t="str">
        <f>IF(ISBLANK(Term3_Day_6[[#This Row],[Activity]]),"",IF(_xlfn.XLOOKUP(Term3_Day_6[[#This Row],[Activity]],Types_of_Activity[Type of Activity],Types_of_Activity[Classification])=1,Term3_Day_6[[#This Row],[Elapsed]],0))</f>
        <v/>
      </c>
      <c r="AP19" s="105" t="str">
        <f>IF(ISBLANK(Term3_Day_6[[#This Row],[Activity]]),"",IF(_xlfn.XLOOKUP(Term3_Day_6[[#This Row],[Activity]],Types_of_Activity[Type of Activity],Types_of_Activity[Classification])=2,Term3_Day_6[[#This Row],[Elapsed]],0))</f>
        <v/>
      </c>
      <c r="AR19" s="135"/>
      <c r="AS19" s="135"/>
      <c r="AT19" s="102"/>
      <c r="AU19" s="105" t="str">
        <f>IF(OR(ISBLANK(Term3_Day_7[[#This Row],[Start]]),ISBLANK(Term3_Day_7[[#This Row],[End]])),"",(Term3_Day_7[[#This Row],[End]]-Term3_Day_7[[#This Row],[Start]])*1440)</f>
        <v/>
      </c>
      <c r="AV19" s="105" t="str">
        <f>IF(ISBLANK(Term3_Day_7[[#This Row],[Activity]]),"",IF(_xlfn.XLOOKUP(Term3_Day_7[[#This Row],[Activity]],Types_of_Activity[Type of Activity],Types_of_Activity[Classification])=1,Term3_Day_7[[#This Row],[Elapsed]],0))</f>
        <v/>
      </c>
      <c r="AW19" s="105" t="str">
        <f>IF(ISBLANK(Term3_Day_7[[#This Row],[Activity]]),"",IF(_xlfn.XLOOKUP(Term3_Day_7[[#This Row],[Activity]],Types_of_Activity[Type of Activity],Types_of_Activity[Classification])=2,Term3_Day_7[[#This Row],[Elapsed]],0))</f>
        <v/>
      </c>
      <c r="AY19" s="135"/>
      <c r="AZ19" s="135"/>
      <c r="BA19" s="102"/>
      <c r="BB19" s="105" t="str">
        <f>IF(OR(ISBLANK(Term3_Day_8[[#This Row],[Start]]),ISBLANK(Term3_Day_8[[#This Row],[End]])),"",(Term3_Day_8[[#This Row],[End]]-Term3_Day_8[[#This Row],[Start]])*1440)</f>
        <v/>
      </c>
      <c r="BC19" s="105" t="str">
        <f>IF(ISBLANK(Term3_Day_8[[#This Row],[Activity]]),"",IF(_xlfn.XLOOKUP(Term3_Day_8[[#This Row],[Activity]],Types_of_Activity[Type of Activity],Types_of_Activity[Classification])=1,Term3_Day_8[[#This Row],[Elapsed]],0))</f>
        <v/>
      </c>
      <c r="BD19" s="105" t="str">
        <f>IF(ISBLANK(Term3_Day_8[[#This Row],[Activity]]),"",IF(_xlfn.XLOOKUP(Term3_Day_8[[#This Row],[Activity]],Types_of_Activity[Type of Activity],Types_of_Activity[Classification])=2,Term3_Day_8[[#This Row],[Elapsed]],0))</f>
        <v/>
      </c>
      <c r="BF19" s="135"/>
      <c r="BG19" s="135"/>
      <c r="BH19" s="102"/>
      <c r="BI19" s="105" t="str">
        <f>IF(OR(ISBLANK(Term3_Day_9[[#This Row],[Start]]),ISBLANK(Term3_Day_9[[#This Row],[End]])),"",(Term3_Day_9[[#This Row],[End]]-Term3_Day_9[[#This Row],[Start]])*1440)</f>
        <v/>
      </c>
      <c r="BJ19" s="105" t="str">
        <f>IF(ISBLANK(Term3_Day_9[[#This Row],[Activity]]),"",IF(_xlfn.XLOOKUP(Term3_Day_9[[#This Row],[Activity]],Types_of_Activity[Type of Activity],Types_of_Activity[Classification])=1,Term3_Day_9[[#This Row],[Elapsed]],0))</f>
        <v/>
      </c>
      <c r="BK19" s="105" t="str">
        <f>IF(ISBLANK(Term3_Day_9[[#This Row],[Activity]]),"",IF(_xlfn.XLOOKUP(Term3_Day_9[[#This Row],[Activity]],Types_of_Activity[Type of Activity],Types_of_Activity[Classification])=2,Term3_Day_9[[#This Row],[Elapsed]],0))</f>
        <v/>
      </c>
      <c r="BM19" s="135"/>
      <c r="BN19" s="135"/>
      <c r="BO19" s="102"/>
      <c r="BP19" s="105" t="str">
        <f>IF(OR(ISBLANK(Term3_Day_10[[#This Row],[Start]]),ISBLANK(Term3_Day_10[[#This Row],[End]])),"",(Term3_Day_10[[#This Row],[End]]-Term3_Day_10[[#This Row],[Start]])*1440)</f>
        <v/>
      </c>
      <c r="BQ19" s="105" t="str">
        <f>IF(ISBLANK(Term3_Day_10[[#This Row],[Activity]]),"",IF(_xlfn.XLOOKUP(Term3_Day_10[[#This Row],[Activity]],Types_of_Activity[Type of Activity],Types_of_Activity[Classification])=1,Term3_Day_10[[#This Row],[Elapsed]],0))</f>
        <v/>
      </c>
      <c r="BR19" s="105" t="str">
        <f>IF(ISBLANK(Term3_Day_10[[#This Row],[Activity]]),"",IF(_xlfn.XLOOKUP(Term3_Day_10[[#This Row],[Activity]],Types_of_Activity[Type of Activity],Types_of_Activity[Classification])=2,Term3_Day_10[[#This Row],[Elapsed]],0))</f>
        <v/>
      </c>
    </row>
    <row r="20" spans="2:71" x14ac:dyDescent="0.3">
      <c r="B20" s="135"/>
      <c r="C20" s="135"/>
      <c r="D20" s="102"/>
      <c r="E20" s="105" t="str">
        <f>IF(OR(ISBLANK(Term3_Day_1[[#This Row],[Start]]),ISBLANK(Term3_Day_1[[#This Row],[End]])),"",(Term3_Day_1[[#This Row],[End]]-Term3_Day_1[[#This Row],[Start]])*1440)</f>
        <v/>
      </c>
      <c r="F20" s="105" t="str">
        <f>IF(ISBLANK(Term3_Day_1[[#This Row],[Activity]]),"",IF(_xlfn.XLOOKUP(Term3_Day_1[[#This Row],[Activity]],Types_of_Activity[Type of Activity],Types_of_Activity[Classification])=1,Term3_Day_1[[#This Row],[Elapsed]],0))</f>
        <v/>
      </c>
      <c r="G20" s="105" t="str">
        <f>IF(ISBLANK(Term3_Day_1[[#This Row],[Activity]]),"",IF(_xlfn.XLOOKUP(Term3_Day_1[[#This Row],[Activity]],Types_of_Activity[Type of Activity],Types_of_Activity[Classification])=2,Term3_Day_1[[#This Row],[Elapsed]],0))</f>
        <v/>
      </c>
      <c r="I20" s="135"/>
      <c r="J20" s="135"/>
      <c r="K20" s="102"/>
      <c r="L20" s="105" t="str">
        <f>IF(OR(ISBLANK(Term3_Day_2[[#This Row],[Start]]),ISBLANK(Term3_Day_2[[#This Row],[End]])),"",(Term3_Day_2[[#This Row],[End]]-Term3_Day_2[[#This Row],[Start]])*1440)</f>
        <v/>
      </c>
      <c r="M20" s="105" t="str">
        <f>IF(ISBLANK(Term3_Day_2[[#This Row],[Activity]]),"",IF(_xlfn.XLOOKUP(Term3_Day_2[[#This Row],[Activity]],Types_of_Activity[Type of Activity],Types_of_Activity[Classification])=1,Term3_Day_2[[#This Row],[Elapsed]],0))</f>
        <v/>
      </c>
      <c r="N20" s="105" t="str">
        <f>IF(ISBLANK(Term3_Day_2[[#This Row],[Activity]]),"",IF(_xlfn.XLOOKUP(Term3_Day_2[[#This Row],[Activity]],Types_of_Activity[Type of Activity],Types_of_Activity[Classification])=2,Term3_Day_2[[#This Row],[Elapsed]],0))</f>
        <v/>
      </c>
      <c r="P20" s="135"/>
      <c r="Q20" s="135"/>
      <c r="R20" s="102"/>
      <c r="S20" s="105" t="str">
        <f>IF(OR(ISBLANK(Term3_Day_3[[#This Row],[Start]]),ISBLANK(Term3_Day_3[[#This Row],[End]])),"",(Term3_Day_3[[#This Row],[End]]-Term3_Day_3[[#This Row],[Start]])*1440)</f>
        <v/>
      </c>
      <c r="T20" s="105" t="str">
        <f>IF(ISBLANK(Term3_Day_3[[#This Row],[Activity]]),"",IF(_xlfn.XLOOKUP(Term3_Day_3[[#This Row],[Activity]],Types_of_Activity[Type of Activity],Types_of_Activity[Classification])=1,Term3_Day_3[[#This Row],[Elapsed]],0))</f>
        <v/>
      </c>
      <c r="U20" s="105" t="str">
        <f>IF(ISBLANK(Term3_Day_3[[#This Row],[Activity]]),"",IF(_xlfn.XLOOKUP(Term3_Day_3[[#This Row],[Activity]],Types_of_Activity[Type of Activity],Types_of_Activity[Classification])=2,Term3_Day_3[[#This Row],[Elapsed]],0))</f>
        <v/>
      </c>
      <c r="W20" s="135"/>
      <c r="X20" s="135"/>
      <c r="Y20" s="102"/>
      <c r="Z20" s="105" t="str">
        <f>IF(OR(ISBLANK(Term3_Day_4[[#This Row],[Start]]),ISBLANK(Term3_Day_4[[#This Row],[End]])),"",(Term3_Day_4[[#This Row],[End]]-Term3_Day_4[[#This Row],[Start]])*1440)</f>
        <v/>
      </c>
      <c r="AA20" s="105" t="str">
        <f>IF(ISBLANK(Term3_Day_4[[#This Row],[Activity]]),"",IF(_xlfn.XLOOKUP(Term3_Day_4[[#This Row],[Activity]],Types_of_Activity[Type of Activity],Types_of_Activity[Classification])=1,Term3_Day_4[[#This Row],[Elapsed]],0))</f>
        <v/>
      </c>
      <c r="AB20" s="105" t="str">
        <f>IF(ISBLANK(Term3_Day_4[[#This Row],[Activity]]),"",IF(_xlfn.XLOOKUP(Term3_Day_4[[#This Row],[Activity]],Types_of_Activity[Type of Activity],Types_of_Activity[Classification])=2,Term3_Day_4[[#This Row],[Elapsed]],0))</f>
        <v/>
      </c>
      <c r="AD20" s="135"/>
      <c r="AE20" s="135"/>
      <c r="AF20" s="102"/>
      <c r="AG20" s="105" t="str">
        <f>IF(OR(ISBLANK(Term3_Day_5[[#This Row],[Start]]),ISBLANK(Term3_Day_5[[#This Row],[End]])),"",(Term3_Day_5[[#This Row],[End]]-Term3_Day_5[[#This Row],[Start]])*1440)</f>
        <v/>
      </c>
      <c r="AH20" s="105" t="str">
        <f>IF(ISBLANK(Term3_Day_5[[#This Row],[Activity]]),"",IF(_xlfn.XLOOKUP(Term3_Day_5[[#This Row],[Activity]],Types_of_Activity[Type of Activity],Types_of_Activity[Classification])=1,Term3_Day_5[[#This Row],[Elapsed]],0))</f>
        <v/>
      </c>
      <c r="AI20" s="105" t="str">
        <f>IF(ISBLANK(Term3_Day_5[[#This Row],[Activity]]),"",IF(_xlfn.XLOOKUP(Term3_Day_5[[#This Row],[Activity]],Types_of_Activity[Type of Activity],Types_of_Activity[Classification])=2,Term3_Day_5[[#This Row],[Elapsed]],0))</f>
        <v/>
      </c>
      <c r="AJ20" s="106"/>
      <c r="AK20" s="135"/>
      <c r="AL20" s="135"/>
      <c r="AM20" s="102"/>
      <c r="AN20" s="105" t="str">
        <f>IF(OR(ISBLANK(Term3_Day_6[[#This Row],[Start]]),ISBLANK(Term3_Day_6[[#This Row],[End]])),"",(Term3_Day_6[[#This Row],[End]]-Term3_Day_6[[#This Row],[Start]])*1440)</f>
        <v/>
      </c>
      <c r="AO20" s="105" t="str">
        <f>IF(ISBLANK(Term3_Day_6[[#This Row],[Activity]]),"",IF(_xlfn.XLOOKUP(Term3_Day_6[[#This Row],[Activity]],Types_of_Activity[Type of Activity],Types_of_Activity[Classification])=1,Term3_Day_6[[#This Row],[Elapsed]],0))</f>
        <v/>
      </c>
      <c r="AP20" s="105" t="str">
        <f>IF(ISBLANK(Term3_Day_6[[#This Row],[Activity]]),"",IF(_xlfn.XLOOKUP(Term3_Day_6[[#This Row],[Activity]],Types_of_Activity[Type of Activity],Types_of_Activity[Classification])=2,Term3_Day_6[[#This Row],[Elapsed]],0))</f>
        <v/>
      </c>
      <c r="AQ20" s="106"/>
      <c r="AR20" s="135"/>
      <c r="AS20" s="135"/>
      <c r="AT20" s="102"/>
      <c r="AU20" s="105" t="str">
        <f>IF(OR(ISBLANK(Term3_Day_7[[#This Row],[Start]]),ISBLANK(Term3_Day_7[[#This Row],[End]])),"",(Term3_Day_7[[#This Row],[End]]-Term3_Day_7[[#This Row],[Start]])*1440)</f>
        <v/>
      </c>
      <c r="AV20" s="105" t="str">
        <f>IF(ISBLANK(Term3_Day_7[[#This Row],[Activity]]),"",IF(_xlfn.XLOOKUP(Term3_Day_7[[#This Row],[Activity]],Types_of_Activity[Type of Activity],Types_of_Activity[Classification])=1,Term3_Day_7[[#This Row],[Elapsed]],0))</f>
        <v/>
      </c>
      <c r="AW20" s="105" t="str">
        <f>IF(ISBLANK(Term3_Day_7[[#This Row],[Activity]]),"",IF(_xlfn.XLOOKUP(Term3_Day_7[[#This Row],[Activity]],Types_of_Activity[Type of Activity],Types_of_Activity[Classification])=2,Term3_Day_7[[#This Row],[Elapsed]],0))</f>
        <v/>
      </c>
      <c r="AX20" s="106"/>
      <c r="AY20" s="135"/>
      <c r="AZ20" s="135"/>
      <c r="BA20" s="102"/>
      <c r="BB20" s="105" t="str">
        <f>IF(OR(ISBLANK(Term3_Day_8[[#This Row],[Start]]),ISBLANK(Term3_Day_8[[#This Row],[End]])),"",(Term3_Day_8[[#This Row],[End]]-Term3_Day_8[[#This Row],[Start]])*1440)</f>
        <v/>
      </c>
      <c r="BC20" s="105" t="str">
        <f>IF(ISBLANK(Term3_Day_8[[#This Row],[Activity]]),"",IF(_xlfn.XLOOKUP(Term3_Day_8[[#This Row],[Activity]],Types_of_Activity[Type of Activity],Types_of_Activity[Classification])=1,Term3_Day_8[[#This Row],[Elapsed]],0))</f>
        <v/>
      </c>
      <c r="BD20" s="105" t="str">
        <f>IF(ISBLANK(Term3_Day_8[[#This Row],[Activity]]),"",IF(_xlfn.XLOOKUP(Term3_Day_8[[#This Row],[Activity]],Types_of_Activity[Type of Activity],Types_of_Activity[Classification])=2,Term3_Day_8[[#This Row],[Elapsed]],0))</f>
        <v/>
      </c>
      <c r="BE20" s="106"/>
      <c r="BF20" s="135"/>
      <c r="BG20" s="135"/>
      <c r="BH20" s="102"/>
      <c r="BI20" s="105" t="str">
        <f>IF(OR(ISBLANK(Term3_Day_9[[#This Row],[Start]]),ISBLANK(Term3_Day_9[[#This Row],[End]])),"",(Term3_Day_9[[#This Row],[End]]-Term3_Day_9[[#This Row],[Start]])*1440)</f>
        <v/>
      </c>
      <c r="BJ20" s="105" t="str">
        <f>IF(ISBLANK(Term3_Day_9[[#This Row],[Activity]]),"",IF(_xlfn.XLOOKUP(Term3_Day_9[[#This Row],[Activity]],Types_of_Activity[Type of Activity],Types_of_Activity[Classification])=1,Term3_Day_9[[#This Row],[Elapsed]],0))</f>
        <v/>
      </c>
      <c r="BK20" s="105" t="str">
        <f>IF(ISBLANK(Term3_Day_9[[#This Row],[Activity]]),"",IF(_xlfn.XLOOKUP(Term3_Day_9[[#This Row],[Activity]],Types_of_Activity[Type of Activity],Types_of_Activity[Classification])=2,Term3_Day_9[[#This Row],[Elapsed]],0))</f>
        <v/>
      </c>
      <c r="BL20" s="106"/>
      <c r="BM20" s="135"/>
      <c r="BN20" s="135"/>
      <c r="BO20" s="102"/>
      <c r="BP20" s="105" t="str">
        <f>IF(OR(ISBLANK(Term3_Day_10[[#This Row],[Start]]),ISBLANK(Term3_Day_10[[#This Row],[End]])),"",(Term3_Day_10[[#This Row],[End]]-Term3_Day_10[[#This Row],[Start]])*1440)</f>
        <v/>
      </c>
      <c r="BQ20" s="105" t="str">
        <f>IF(ISBLANK(Term3_Day_10[[#This Row],[Activity]]),"",IF(_xlfn.XLOOKUP(Term3_Day_10[[#This Row],[Activity]],Types_of_Activity[Type of Activity],Types_of_Activity[Classification])=1,Term3_Day_10[[#This Row],[Elapsed]],0))</f>
        <v/>
      </c>
      <c r="BR20" s="105" t="str">
        <f>IF(ISBLANK(Term3_Day_10[[#This Row],[Activity]]),"",IF(_xlfn.XLOOKUP(Term3_Day_10[[#This Row],[Activity]],Types_of_Activity[Type of Activity],Types_of_Activity[Classification])=2,Term3_Day_10[[#This Row],[Elapsed]],0))</f>
        <v/>
      </c>
      <c r="BS20" s="106"/>
    </row>
    <row r="21" spans="2:71" x14ac:dyDescent="0.3">
      <c r="B21" s="135"/>
      <c r="C21" s="135"/>
      <c r="D21" s="102"/>
      <c r="E21" s="105" t="str">
        <f>IF(OR(ISBLANK(Term3_Day_1[[#This Row],[Start]]),ISBLANK(Term3_Day_1[[#This Row],[End]])),"",(Term3_Day_1[[#This Row],[End]]-Term3_Day_1[[#This Row],[Start]])*1440)</f>
        <v/>
      </c>
      <c r="F21" s="105" t="str">
        <f>IF(ISBLANK(Term3_Day_1[[#This Row],[Activity]]),"",IF(_xlfn.XLOOKUP(Term3_Day_1[[#This Row],[Activity]],Types_of_Activity[Type of Activity],Types_of_Activity[Classification])=1,Term3_Day_1[[#This Row],[Elapsed]],0))</f>
        <v/>
      </c>
      <c r="G21" s="105" t="str">
        <f>IF(ISBLANK(Term3_Day_1[[#This Row],[Activity]]),"",IF(_xlfn.XLOOKUP(Term3_Day_1[[#This Row],[Activity]],Types_of_Activity[Type of Activity],Types_of_Activity[Classification])=2,Term3_Day_1[[#This Row],[Elapsed]],0))</f>
        <v/>
      </c>
      <c r="I21" s="135"/>
      <c r="J21" s="135"/>
      <c r="K21" s="102"/>
      <c r="L21" s="105" t="str">
        <f>IF(OR(ISBLANK(Term3_Day_2[[#This Row],[Start]]),ISBLANK(Term3_Day_2[[#This Row],[End]])),"",(Term3_Day_2[[#This Row],[End]]-Term3_Day_2[[#This Row],[Start]])*1440)</f>
        <v/>
      </c>
      <c r="M21" s="105" t="str">
        <f>IF(ISBLANK(Term3_Day_2[[#This Row],[Activity]]),"",IF(_xlfn.XLOOKUP(Term3_Day_2[[#This Row],[Activity]],Types_of_Activity[Type of Activity],Types_of_Activity[Classification])=1,Term3_Day_2[[#This Row],[Elapsed]],0))</f>
        <v/>
      </c>
      <c r="N21" s="105" t="str">
        <f>IF(ISBLANK(Term3_Day_2[[#This Row],[Activity]]),"",IF(_xlfn.XLOOKUP(Term3_Day_2[[#This Row],[Activity]],Types_of_Activity[Type of Activity],Types_of_Activity[Classification])=2,Term3_Day_2[[#This Row],[Elapsed]],0))</f>
        <v/>
      </c>
      <c r="P21" s="135"/>
      <c r="Q21" s="135"/>
      <c r="R21" s="102"/>
      <c r="S21" s="105" t="str">
        <f>IF(OR(ISBLANK(Term3_Day_3[[#This Row],[Start]]),ISBLANK(Term3_Day_3[[#This Row],[End]])),"",(Term3_Day_3[[#This Row],[End]]-Term3_Day_3[[#This Row],[Start]])*1440)</f>
        <v/>
      </c>
      <c r="T21" s="105" t="str">
        <f>IF(ISBLANK(Term3_Day_3[[#This Row],[Activity]]),"",IF(_xlfn.XLOOKUP(Term3_Day_3[[#This Row],[Activity]],Types_of_Activity[Type of Activity],Types_of_Activity[Classification])=1,Term3_Day_3[[#This Row],[Elapsed]],0))</f>
        <v/>
      </c>
      <c r="U21" s="105" t="str">
        <f>IF(ISBLANK(Term3_Day_3[[#This Row],[Activity]]),"",IF(_xlfn.XLOOKUP(Term3_Day_3[[#This Row],[Activity]],Types_of_Activity[Type of Activity],Types_of_Activity[Classification])=2,Term3_Day_3[[#This Row],[Elapsed]],0))</f>
        <v/>
      </c>
      <c r="W21" s="135"/>
      <c r="X21" s="135"/>
      <c r="Y21" s="102"/>
      <c r="Z21" s="105" t="str">
        <f>IF(OR(ISBLANK(Term3_Day_4[[#This Row],[Start]]),ISBLANK(Term3_Day_4[[#This Row],[End]])),"",(Term3_Day_4[[#This Row],[End]]-Term3_Day_4[[#This Row],[Start]])*1440)</f>
        <v/>
      </c>
      <c r="AA21" s="105" t="str">
        <f>IF(ISBLANK(Term3_Day_4[[#This Row],[Activity]]),"",IF(_xlfn.XLOOKUP(Term3_Day_4[[#This Row],[Activity]],Types_of_Activity[Type of Activity],Types_of_Activity[Classification])=1,Term3_Day_4[[#This Row],[Elapsed]],0))</f>
        <v/>
      </c>
      <c r="AB21" s="105" t="str">
        <f>IF(ISBLANK(Term3_Day_4[[#This Row],[Activity]]),"",IF(_xlfn.XLOOKUP(Term3_Day_4[[#This Row],[Activity]],Types_of_Activity[Type of Activity],Types_of_Activity[Classification])=2,Term3_Day_4[[#This Row],[Elapsed]],0))</f>
        <v/>
      </c>
      <c r="AD21" s="135"/>
      <c r="AE21" s="135"/>
      <c r="AF21" s="102"/>
      <c r="AG21" s="105" t="str">
        <f>IF(OR(ISBLANK(Term3_Day_5[[#This Row],[Start]]),ISBLANK(Term3_Day_5[[#This Row],[End]])),"",(Term3_Day_5[[#This Row],[End]]-Term3_Day_5[[#This Row],[Start]])*1440)</f>
        <v/>
      </c>
      <c r="AH21" s="105" t="str">
        <f>IF(ISBLANK(Term3_Day_5[[#This Row],[Activity]]),"",IF(_xlfn.XLOOKUP(Term3_Day_5[[#This Row],[Activity]],Types_of_Activity[Type of Activity],Types_of_Activity[Classification])=1,Term3_Day_5[[#This Row],[Elapsed]],0))</f>
        <v/>
      </c>
      <c r="AI21" s="105" t="str">
        <f>IF(ISBLANK(Term3_Day_5[[#This Row],[Activity]]),"",IF(_xlfn.XLOOKUP(Term3_Day_5[[#This Row],[Activity]],Types_of_Activity[Type of Activity],Types_of_Activity[Classification])=2,Term3_Day_5[[#This Row],[Elapsed]],0))</f>
        <v/>
      </c>
      <c r="AJ21" s="106"/>
      <c r="AK21" s="135"/>
      <c r="AL21" s="135"/>
      <c r="AM21" s="102"/>
      <c r="AN21" s="105" t="str">
        <f>IF(OR(ISBLANK(Term3_Day_6[[#This Row],[Start]]),ISBLANK(Term3_Day_6[[#This Row],[End]])),"",(Term3_Day_6[[#This Row],[End]]-Term3_Day_6[[#This Row],[Start]])*1440)</f>
        <v/>
      </c>
      <c r="AO21" s="105" t="str">
        <f>IF(ISBLANK(Term3_Day_6[[#This Row],[Activity]]),"",IF(_xlfn.XLOOKUP(Term3_Day_6[[#This Row],[Activity]],Types_of_Activity[Type of Activity],Types_of_Activity[Classification])=1,Term3_Day_6[[#This Row],[Elapsed]],0))</f>
        <v/>
      </c>
      <c r="AP21" s="105" t="str">
        <f>IF(ISBLANK(Term3_Day_6[[#This Row],[Activity]]),"",IF(_xlfn.XLOOKUP(Term3_Day_6[[#This Row],[Activity]],Types_of_Activity[Type of Activity],Types_of_Activity[Classification])=2,Term3_Day_6[[#This Row],[Elapsed]],0))</f>
        <v/>
      </c>
      <c r="AQ21" s="106"/>
      <c r="AR21" s="135"/>
      <c r="AS21" s="135"/>
      <c r="AT21" s="102"/>
      <c r="AU21" s="105" t="str">
        <f>IF(OR(ISBLANK(Term3_Day_7[[#This Row],[Start]]),ISBLANK(Term3_Day_7[[#This Row],[End]])),"",(Term3_Day_7[[#This Row],[End]]-Term3_Day_7[[#This Row],[Start]])*1440)</f>
        <v/>
      </c>
      <c r="AV21" s="105" t="str">
        <f>IF(ISBLANK(Term3_Day_7[[#This Row],[Activity]]),"",IF(_xlfn.XLOOKUP(Term3_Day_7[[#This Row],[Activity]],Types_of_Activity[Type of Activity],Types_of_Activity[Classification])=1,Term3_Day_7[[#This Row],[Elapsed]],0))</f>
        <v/>
      </c>
      <c r="AW21" s="105" t="str">
        <f>IF(ISBLANK(Term3_Day_7[[#This Row],[Activity]]),"",IF(_xlfn.XLOOKUP(Term3_Day_7[[#This Row],[Activity]],Types_of_Activity[Type of Activity],Types_of_Activity[Classification])=2,Term3_Day_7[[#This Row],[Elapsed]],0))</f>
        <v/>
      </c>
      <c r="AX21" s="106"/>
      <c r="AY21" s="135"/>
      <c r="AZ21" s="135"/>
      <c r="BA21" s="102"/>
      <c r="BB21" s="105" t="str">
        <f>IF(OR(ISBLANK(Term3_Day_8[[#This Row],[Start]]),ISBLANK(Term3_Day_8[[#This Row],[End]])),"",(Term3_Day_8[[#This Row],[End]]-Term3_Day_8[[#This Row],[Start]])*1440)</f>
        <v/>
      </c>
      <c r="BC21" s="105" t="str">
        <f>IF(ISBLANK(Term3_Day_8[[#This Row],[Activity]]),"",IF(_xlfn.XLOOKUP(Term3_Day_8[[#This Row],[Activity]],Types_of_Activity[Type of Activity],Types_of_Activity[Classification])=1,Term3_Day_8[[#This Row],[Elapsed]],0))</f>
        <v/>
      </c>
      <c r="BD21" s="105" t="str">
        <f>IF(ISBLANK(Term3_Day_8[[#This Row],[Activity]]),"",IF(_xlfn.XLOOKUP(Term3_Day_8[[#This Row],[Activity]],Types_of_Activity[Type of Activity],Types_of_Activity[Classification])=2,Term3_Day_8[[#This Row],[Elapsed]],0))</f>
        <v/>
      </c>
      <c r="BE21" s="106"/>
      <c r="BF21" s="135"/>
      <c r="BG21" s="135"/>
      <c r="BH21" s="102"/>
      <c r="BI21" s="105" t="str">
        <f>IF(OR(ISBLANK(Term3_Day_9[[#This Row],[Start]]),ISBLANK(Term3_Day_9[[#This Row],[End]])),"",(Term3_Day_9[[#This Row],[End]]-Term3_Day_9[[#This Row],[Start]])*1440)</f>
        <v/>
      </c>
      <c r="BJ21" s="105" t="str">
        <f>IF(ISBLANK(Term3_Day_9[[#This Row],[Activity]]),"",IF(_xlfn.XLOOKUP(Term3_Day_9[[#This Row],[Activity]],Types_of_Activity[Type of Activity],Types_of_Activity[Classification])=1,Term3_Day_9[[#This Row],[Elapsed]],0))</f>
        <v/>
      </c>
      <c r="BK21" s="105" t="str">
        <f>IF(ISBLANK(Term3_Day_9[[#This Row],[Activity]]),"",IF(_xlfn.XLOOKUP(Term3_Day_9[[#This Row],[Activity]],Types_of_Activity[Type of Activity],Types_of_Activity[Classification])=2,Term3_Day_9[[#This Row],[Elapsed]],0))</f>
        <v/>
      </c>
      <c r="BL21" s="106"/>
      <c r="BM21" s="135"/>
      <c r="BN21" s="135"/>
      <c r="BO21" s="102"/>
      <c r="BP21" s="105" t="str">
        <f>IF(OR(ISBLANK(Term3_Day_10[[#This Row],[Start]]),ISBLANK(Term3_Day_10[[#This Row],[End]])),"",(Term3_Day_10[[#This Row],[End]]-Term3_Day_10[[#This Row],[Start]])*1440)</f>
        <v/>
      </c>
      <c r="BQ21" s="105" t="str">
        <f>IF(ISBLANK(Term3_Day_10[[#This Row],[Activity]]),"",IF(_xlfn.XLOOKUP(Term3_Day_10[[#This Row],[Activity]],Types_of_Activity[Type of Activity],Types_of_Activity[Classification])=1,Term3_Day_10[[#This Row],[Elapsed]],0))</f>
        <v/>
      </c>
      <c r="BR21" s="105" t="str">
        <f>IF(ISBLANK(Term3_Day_10[[#This Row],[Activity]]),"",IF(_xlfn.XLOOKUP(Term3_Day_10[[#This Row],[Activity]],Types_of_Activity[Type of Activity],Types_of_Activity[Classification])=2,Term3_Day_10[[#This Row],[Elapsed]],0))</f>
        <v/>
      </c>
      <c r="BS21" s="106"/>
    </row>
    <row r="22" spans="2:71" x14ac:dyDescent="0.3">
      <c r="B22" s="135"/>
      <c r="C22" s="135"/>
      <c r="D22" s="102"/>
      <c r="E22" s="105" t="str">
        <f>IF(OR(ISBLANK(Term3_Day_1[[#This Row],[Start]]),ISBLANK(Term3_Day_1[[#This Row],[End]])),"",(Term3_Day_1[[#This Row],[End]]-Term3_Day_1[[#This Row],[Start]])*1440)</f>
        <v/>
      </c>
      <c r="F22" s="105" t="str">
        <f>IF(ISBLANK(Term3_Day_1[[#This Row],[Activity]]),"",IF(_xlfn.XLOOKUP(Term3_Day_1[[#This Row],[Activity]],Types_of_Activity[Type of Activity],Types_of_Activity[Classification])=1,Term3_Day_1[[#This Row],[Elapsed]],0))</f>
        <v/>
      </c>
      <c r="G22" s="105" t="str">
        <f>IF(ISBLANK(Term3_Day_1[[#This Row],[Activity]]),"",IF(_xlfn.XLOOKUP(Term3_Day_1[[#This Row],[Activity]],Types_of_Activity[Type of Activity],Types_of_Activity[Classification])=2,Term3_Day_1[[#This Row],[Elapsed]],0))</f>
        <v/>
      </c>
      <c r="I22" s="135"/>
      <c r="J22" s="135"/>
      <c r="K22" s="102"/>
      <c r="L22" s="105" t="str">
        <f>IF(OR(ISBLANK(Term3_Day_2[[#This Row],[Start]]),ISBLANK(Term3_Day_2[[#This Row],[End]])),"",(Term3_Day_2[[#This Row],[End]]-Term3_Day_2[[#This Row],[Start]])*1440)</f>
        <v/>
      </c>
      <c r="M22" s="105" t="str">
        <f>IF(ISBLANK(Term3_Day_2[[#This Row],[Activity]]),"",IF(_xlfn.XLOOKUP(Term3_Day_2[[#This Row],[Activity]],Types_of_Activity[Type of Activity],Types_of_Activity[Classification])=1,Term3_Day_2[[#This Row],[Elapsed]],0))</f>
        <v/>
      </c>
      <c r="N22" s="105" t="str">
        <f>IF(ISBLANK(Term3_Day_2[[#This Row],[Activity]]),"",IF(_xlfn.XLOOKUP(Term3_Day_2[[#This Row],[Activity]],Types_of_Activity[Type of Activity],Types_of_Activity[Classification])=2,Term3_Day_2[[#This Row],[Elapsed]],0))</f>
        <v/>
      </c>
      <c r="P22" s="135"/>
      <c r="Q22" s="135"/>
      <c r="R22" s="102"/>
      <c r="S22" s="105" t="str">
        <f>IF(OR(ISBLANK(Term3_Day_3[[#This Row],[Start]]),ISBLANK(Term3_Day_3[[#This Row],[End]])),"",(Term3_Day_3[[#This Row],[End]]-Term3_Day_3[[#This Row],[Start]])*1440)</f>
        <v/>
      </c>
      <c r="T22" s="105" t="str">
        <f>IF(ISBLANK(Term3_Day_3[[#This Row],[Activity]]),"",IF(_xlfn.XLOOKUP(Term3_Day_3[[#This Row],[Activity]],Types_of_Activity[Type of Activity],Types_of_Activity[Classification])=1,Term3_Day_3[[#This Row],[Elapsed]],0))</f>
        <v/>
      </c>
      <c r="U22" s="105" t="str">
        <f>IF(ISBLANK(Term3_Day_3[[#This Row],[Activity]]),"",IF(_xlfn.XLOOKUP(Term3_Day_3[[#This Row],[Activity]],Types_of_Activity[Type of Activity],Types_of_Activity[Classification])=2,Term3_Day_3[[#This Row],[Elapsed]],0))</f>
        <v/>
      </c>
      <c r="W22" s="135"/>
      <c r="X22" s="135"/>
      <c r="Y22" s="102"/>
      <c r="Z22" s="105" t="str">
        <f>IF(OR(ISBLANK(Term3_Day_4[[#This Row],[Start]]),ISBLANK(Term3_Day_4[[#This Row],[End]])),"",(Term3_Day_4[[#This Row],[End]]-Term3_Day_4[[#This Row],[Start]])*1440)</f>
        <v/>
      </c>
      <c r="AA22" s="105" t="str">
        <f>IF(ISBLANK(Term3_Day_4[[#This Row],[Activity]]),"",IF(_xlfn.XLOOKUP(Term3_Day_4[[#This Row],[Activity]],Types_of_Activity[Type of Activity],Types_of_Activity[Classification])=1,Term3_Day_4[[#This Row],[Elapsed]],0))</f>
        <v/>
      </c>
      <c r="AB22" s="105" t="str">
        <f>IF(ISBLANK(Term3_Day_4[[#This Row],[Activity]]),"",IF(_xlfn.XLOOKUP(Term3_Day_4[[#This Row],[Activity]],Types_of_Activity[Type of Activity],Types_of_Activity[Classification])=2,Term3_Day_4[[#This Row],[Elapsed]],0))</f>
        <v/>
      </c>
      <c r="AD22" s="135"/>
      <c r="AE22" s="135"/>
      <c r="AF22" s="102"/>
      <c r="AG22" s="105" t="str">
        <f>IF(OR(ISBLANK(Term3_Day_5[[#This Row],[Start]]),ISBLANK(Term3_Day_5[[#This Row],[End]])),"",(Term3_Day_5[[#This Row],[End]]-Term3_Day_5[[#This Row],[Start]])*1440)</f>
        <v/>
      </c>
      <c r="AH22" s="105" t="str">
        <f>IF(ISBLANK(Term3_Day_5[[#This Row],[Activity]]),"",IF(_xlfn.XLOOKUP(Term3_Day_5[[#This Row],[Activity]],Types_of_Activity[Type of Activity],Types_of_Activity[Classification])=1,Term3_Day_5[[#This Row],[Elapsed]],0))</f>
        <v/>
      </c>
      <c r="AI22" s="105" t="str">
        <f>IF(ISBLANK(Term3_Day_5[[#This Row],[Activity]]),"",IF(_xlfn.XLOOKUP(Term3_Day_5[[#This Row],[Activity]],Types_of_Activity[Type of Activity],Types_of_Activity[Classification])=2,Term3_Day_5[[#This Row],[Elapsed]],0))</f>
        <v/>
      </c>
      <c r="AJ22" s="106"/>
      <c r="AK22" s="135"/>
      <c r="AL22" s="135"/>
      <c r="AM22" s="102"/>
      <c r="AN22" s="105" t="str">
        <f>IF(OR(ISBLANK(Term3_Day_6[[#This Row],[Start]]),ISBLANK(Term3_Day_6[[#This Row],[End]])),"",(Term3_Day_6[[#This Row],[End]]-Term3_Day_6[[#This Row],[Start]])*1440)</f>
        <v/>
      </c>
      <c r="AO22" s="105" t="str">
        <f>IF(ISBLANK(Term3_Day_6[[#This Row],[Activity]]),"",IF(_xlfn.XLOOKUP(Term3_Day_6[[#This Row],[Activity]],Types_of_Activity[Type of Activity],Types_of_Activity[Classification])=1,Term3_Day_6[[#This Row],[Elapsed]],0))</f>
        <v/>
      </c>
      <c r="AP22" s="105" t="str">
        <f>IF(ISBLANK(Term3_Day_6[[#This Row],[Activity]]),"",IF(_xlfn.XLOOKUP(Term3_Day_6[[#This Row],[Activity]],Types_of_Activity[Type of Activity],Types_of_Activity[Classification])=2,Term3_Day_6[[#This Row],[Elapsed]],0))</f>
        <v/>
      </c>
      <c r="AQ22" s="106"/>
      <c r="AR22" s="135"/>
      <c r="AS22" s="135"/>
      <c r="AT22" s="102"/>
      <c r="AU22" s="105" t="str">
        <f>IF(OR(ISBLANK(Term3_Day_7[[#This Row],[Start]]),ISBLANK(Term3_Day_7[[#This Row],[End]])),"",(Term3_Day_7[[#This Row],[End]]-Term3_Day_7[[#This Row],[Start]])*1440)</f>
        <v/>
      </c>
      <c r="AV22" s="105" t="str">
        <f>IF(ISBLANK(Term3_Day_7[[#This Row],[Activity]]),"",IF(_xlfn.XLOOKUP(Term3_Day_7[[#This Row],[Activity]],Types_of_Activity[Type of Activity],Types_of_Activity[Classification])=1,Term3_Day_7[[#This Row],[Elapsed]],0))</f>
        <v/>
      </c>
      <c r="AW22" s="105" t="str">
        <f>IF(ISBLANK(Term3_Day_7[[#This Row],[Activity]]),"",IF(_xlfn.XLOOKUP(Term3_Day_7[[#This Row],[Activity]],Types_of_Activity[Type of Activity],Types_of_Activity[Classification])=2,Term3_Day_7[[#This Row],[Elapsed]],0))</f>
        <v/>
      </c>
      <c r="AX22" s="106"/>
      <c r="AY22" s="135"/>
      <c r="AZ22" s="135"/>
      <c r="BA22" s="102"/>
      <c r="BB22" s="105" t="str">
        <f>IF(OR(ISBLANK(Term3_Day_8[[#This Row],[Start]]),ISBLANK(Term3_Day_8[[#This Row],[End]])),"",(Term3_Day_8[[#This Row],[End]]-Term3_Day_8[[#This Row],[Start]])*1440)</f>
        <v/>
      </c>
      <c r="BC22" s="105" t="str">
        <f>IF(ISBLANK(Term3_Day_8[[#This Row],[Activity]]),"",IF(_xlfn.XLOOKUP(Term3_Day_8[[#This Row],[Activity]],Types_of_Activity[Type of Activity],Types_of_Activity[Classification])=1,Term3_Day_8[[#This Row],[Elapsed]],0))</f>
        <v/>
      </c>
      <c r="BD22" s="105" t="str">
        <f>IF(ISBLANK(Term3_Day_8[[#This Row],[Activity]]),"",IF(_xlfn.XLOOKUP(Term3_Day_8[[#This Row],[Activity]],Types_of_Activity[Type of Activity],Types_of_Activity[Classification])=2,Term3_Day_8[[#This Row],[Elapsed]],0))</f>
        <v/>
      </c>
      <c r="BE22" s="106"/>
      <c r="BF22" s="135"/>
      <c r="BG22" s="135"/>
      <c r="BH22" s="102"/>
      <c r="BI22" s="105" t="str">
        <f>IF(OR(ISBLANK(Term3_Day_9[[#This Row],[Start]]),ISBLANK(Term3_Day_9[[#This Row],[End]])),"",(Term3_Day_9[[#This Row],[End]]-Term3_Day_9[[#This Row],[Start]])*1440)</f>
        <v/>
      </c>
      <c r="BJ22" s="105" t="str">
        <f>IF(ISBLANK(Term3_Day_9[[#This Row],[Activity]]),"",IF(_xlfn.XLOOKUP(Term3_Day_9[[#This Row],[Activity]],Types_of_Activity[Type of Activity],Types_of_Activity[Classification])=1,Term3_Day_9[[#This Row],[Elapsed]],0))</f>
        <v/>
      </c>
      <c r="BK22" s="105" t="str">
        <f>IF(ISBLANK(Term3_Day_9[[#This Row],[Activity]]),"",IF(_xlfn.XLOOKUP(Term3_Day_9[[#This Row],[Activity]],Types_of_Activity[Type of Activity],Types_of_Activity[Classification])=2,Term3_Day_9[[#This Row],[Elapsed]],0))</f>
        <v/>
      </c>
      <c r="BL22" s="106"/>
      <c r="BM22" s="135"/>
      <c r="BN22" s="135"/>
      <c r="BO22" s="102"/>
      <c r="BP22" s="105" t="str">
        <f>IF(OR(ISBLANK(Term3_Day_10[[#This Row],[Start]]),ISBLANK(Term3_Day_10[[#This Row],[End]])),"",(Term3_Day_10[[#This Row],[End]]-Term3_Day_10[[#This Row],[Start]])*1440)</f>
        <v/>
      </c>
      <c r="BQ22" s="105" t="str">
        <f>IF(ISBLANK(Term3_Day_10[[#This Row],[Activity]]),"",IF(_xlfn.XLOOKUP(Term3_Day_10[[#This Row],[Activity]],Types_of_Activity[Type of Activity],Types_of_Activity[Classification])=1,Term3_Day_10[[#This Row],[Elapsed]],0))</f>
        <v/>
      </c>
      <c r="BR22" s="105" t="str">
        <f>IF(ISBLANK(Term3_Day_10[[#This Row],[Activity]]),"",IF(_xlfn.XLOOKUP(Term3_Day_10[[#This Row],[Activity]],Types_of_Activity[Type of Activity],Types_of_Activity[Classification])=2,Term3_Day_10[[#This Row],[Elapsed]],0))</f>
        <v/>
      </c>
      <c r="BS22" s="106"/>
    </row>
    <row r="23" spans="2:71" x14ac:dyDescent="0.3">
      <c r="B23" s="135"/>
      <c r="C23" s="135"/>
      <c r="D23" s="102"/>
      <c r="E23" s="105" t="str">
        <f>IF(OR(ISBLANK(Term3_Day_1[[#This Row],[Start]]),ISBLANK(Term3_Day_1[[#This Row],[End]])),"",(Term3_Day_1[[#This Row],[End]]-Term3_Day_1[[#This Row],[Start]])*1440)</f>
        <v/>
      </c>
      <c r="F23" s="105" t="str">
        <f>IF(ISBLANK(Term3_Day_1[[#This Row],[Activity]]),"",IF(_xlfn.XLOOKUP(Term3_Day_1[[#This Row],[Activity]],Types_of_Activity[Type of Activity],Types_of_Activity[Classification])=1,Term3_Day_1[[#This Row],[Elapsed]],0))</f>
        <v/>
      </c>
      <c r="G23" s="105" t="str">
        <f>IF(ISBLANK(Term3_Day_1[[#This Row],[Activity]]),"",IF(_xlfn.XLOOKUP(Term3_Day_1[[#This Row],[Activity]],Types_of_Activity[Type of Activity],Types_of_Activity[Classification])=2,Term3_Day_1[[#This Row],[Elapsed]],0))</f>
        <v/>
      </c>
      <c r="I23" s="135"/>
      <c r="J23" s="135"/>
      <c r="K23" s="102"/>
      <c r="L23" s="105" t="str">
        <f>IF(OR(ISBLANK(Term3_Day_2[[#This Row],[Start]]),ISBLANK(Term3_Day_2[[#This Row],[End]])),"",(Term3_Day_2[[#This Row],[End]]-Term3_Day_2[[#This Row],[Start]])*1440)</f>
        <v/>
      </c>
      <c r="M23" s="105" t="str">
        <f>IF(ISBLANK(Term3_Day_2[[#This Row],[Activity]]),"",IF(_xlfn.XLOOKUP(Term3_Day_2[[#This Row],[Activity]],Types_of_Activity[Type of Activity],Types_of_Activity[Classification])=1,Term3_Day_2[[#This Row],[Elapsed]],0))</f>
        <v/>
      </c>
      <c r="N23" s="105" t="str">
        <f>IF(ISBLANK(Term3_Day_2[[#This Row],[Activity]]),"",IF(_xlfn.XLOOKUP(Term3_Day_2[[#This Row],[Activity]],Types_of_Activity[Type of Activity],Types_of_Activity[Classification])=2,Term3_Day_2[[#This Row],[Elapsed]],0))</f>
        <v/>
      </c>
      <c r="P23" s="135"/>
      <c r="Q23" s="135"/>
      <c r="R23" s="102"/>
      <c r="S23" s="105" t="str">
        <f>IF(OR(ISBLANK(Term3_Day_3[[#This Row],[Start]]),ISBLANK(Term3_Day_3[[#This Row],[End]])),"",(Term3_Day_3[[#This Row],[End]]-Term3_Day_3[[#This Row],[Start]])*1440)</f>
        <v/>
      </c>
      <c r="T23" s="105" t="str">
        <f>IF(ISBLANK(Term3_Day_3[[#This Row],[Activity]]),"",IF(_xlfn.XLOOKUP(Term3_Day_3[[#This Row],[Activity]],Types_of_Activity[Type of Activity],Types_of_Activity[Classification])=1,Term3_Day_3[[#This Row],[Elapsed]],0))</f>
        <v/>
      </c>
      <c r="U23" s="105" t="str">
        <f>IF(ISBLANK(Term3_Day_3[[#This Row],[Activity]]),"",IF(_xlfn.XLOOKUP(Term3_Day_3[[#This Row],[Activity]],Types_of_Activity[Type of Activity],Types_of_Activity[Classification])=2,Term3_Day_3[[#This Row],[Elapsed]],0))</f>
        <v/>
      </c>
      <c r="W23" s="135"/>
      <c r="X23" s="135"/>
      <c r="Y23" s="102"/>
      <c r="Z23" s="105" t="str">
        <f>IF(OR(ISBLANK(Term3_Day_4[[#This Row],[Start]]),ISBLANK(Term3_Day_4[[#This Row],[End]])),"",(Term3_Day_4[[#This Row],[End]]-Term3_Day_4[[#This Row],[Start]])*1440)</f>
        <v/>
      </c>
      <c r="AA23" s="105" t="str">
        <f>IF(ISBLANK(Term3_Day_4[[#This Row],[Activity]]),"",IF(_xlfn.XLOOKUP(Term3_Day_4[[#This Row],[Activity]],Types_of_Activity[Type of Activity],Types_of_Activity[Classification])=1,Term3_Day_4[[#This Row],[Elapsed]],0))</f>
        <v/>
      </c>
      <c r="AB23" s="105" t="str">
        <f>IF(ISBLANK(Term3_Day_4[[#This Row],[Activity]]),"",IF(_xlfn.XLOOKUP(Term3_Day_4[[#This Row],[Activity]],Types_of_Activity[Type of Activity],Types_of_Activity[Classification])=2,Term3_Day_4[[#This Row],[Elapsed]],0))</f>
        <v/>
      </c>
      <c r="AD23" s="135"/>
      <c r="AE23" s="135"/>
      <c r="AF23" s="102"/>
      <c r="AG23" s="105" t="str">
        <f>IF(OR(ISBLANK(Term3_Day_5[[#This Row],[Start]]),ISBLANK(Term3_Day_5[[#This Row],[End]])),"",(Term3_Day_5[[#This Row],[End]]-Term3_Day_5[[#This Row],[Start]])*1440)</f>
        <v/>
      </c>
      <c r="AH23" s="105" t="str">
        <f>IF(ISBLANK(Term3_Day_5[[#This Row],[Activity]]),"",IF(_xlfn.XLOOKUP(Term3_Day_5[[#This Row],[Activity]],Types_of_Activity[Type of Activity],Types_of_Activity[Classification])=1,Term3_Day_5[[#This Row],[Elapsed]],0))</f>
        <v/>
      </c>
      <c r="AI23" s="105" t="str">
        <f>IF(ISBLANK(Term3_Day_5[[#This Row],[Activity]]),"",IF(_xlfn.XLOOKUP(Term3_Day_5[[#This Row],[Activity]],Types_of_Activity[Type of Activity],Types_of_Activity[Classification])=2,Term3_Day_5[[#This Row],[Elapsed]],0))</f>
        <v/>
      </c>
      <c r="AJ23" s="106"/>
      <c r="AK23" s="135"/>
      <c r="AL23" s="135"/>
      <c r="AM23" s="102"/>
      <c r="AN23" s="105" t="str">
        <f>IF(OR(ISBLANK(Term3_Day_6[[#This Row],[Start]]),ISBLANK(Term3_Day_6[[#This Row],[End]])),"",(Term3_Day_6[[#This Row],[End]]-Term3_Day_6[[#This Row],[Start]])*1440)</f>
        <v/>
      </c>
      <c r="AO23" s="105" t="str">
        <f>IF(ISBLANK(Term3_Day_6[[#This Row],[Activity]]),"",IF(_xlfn.XLOOKUP(Term3_Day_6[[#This Row],[Activity]],Types_of_Activity[Type of Activity],Types_of_Activity[Classification])=1,Term3_Day_6[[#This Row],[Elapsed]],0))</f>
        <v/>
      </c>
      <c r="AP23" s="105" t="str">
        <f>IF(ISBLANK(Term3_Day_6[[#This Row],[Activity]]),"",IF(_xlfn.XLOOKUP(Term3_Day_6[[#This Row],[Activity]],Types_of_Activity[Type of Activity],Types_of_Activity[Classification])=2,Term3_Day_6[[#This Row],[Elapsed]],0))</f>
        <v/>
      </c>
      <c r="AQ23" s="106"/>
      <c r="AR23" s="135"/>
      <c r="AS23" s="135"/>
      <c r="AT23" s="102"/>
      <c r="AU23" s="105" t="str">
        <f>IF(OR(ISBLANK(Term3_Day_7[[#This Row],[Start]]),ISBLANK(Term3_Day_7[[#This Row],[End]])),"",(Term3_Day_7[[#This Row],[End]]-Term3_Day_7[[#This Row],[Start]])*1440)</f>
        <v/>
      </c>
      <c r="AV23" s="105" t="str">
        <f>IF(ISBLANK(Term3_Day_7[[#This Row],[Activity]]),"",IF(_xlfn.XLOOKUP(Term3_Day_7[[#This Row],[Activity]],Types_of_Activity[Type of Activity],Types_of_Activity[Classification])=1,Term3_Day_7[[#This Row],[Elapsed]],0))</f>
        <v/>
      </c>
      <c r="AW23" s="105" t="str">
        <f>IF(ISBLANK(Term3_Day_7[[#This Row],[Activity]]),"",IF(_xlfn.XLOOKUP(Term3_Day_7[[#This Row],[Activity]],Types_of_Activity[Type of Activity],Types_of_Activity[Classification])=2,Term3_Day_7[[#This Row],[Elapsed]],0))</f>
        <v/>
      </c>
      <c r="AX23" s="106"/>
      <c r="AY23" s="135"/>
      <c r="AZ23" s="135"/>
      <c r="BA23" s="102"/>
      <c r="BB23" s="105" t="str">
        <f>IF(OR(ISBLANK(Term3_Day_8[[#This Row],[Start]]),ISBLANK(Term3_Day_8[[#This Row],[End]])),"",(Term3_Day_8[[#This Row],[End]]-Term3_Day_8[[#This Row],[Start]])*1440)</f>
        <v/>
      </c>
      <c r="BC23" s="105" t="str">
        <f>IF(ISBLANK(Term3_Day_8[[#This Row],[Activity]]),"",IF(_xlfn.XLOOKUP(Term3_Day_8[[#This Row],[Activity]],Types_of_Activity[Type of Activity],Types_of_Activity[Classification])=1,Term3_Day_8[[#This Row],[Elapsed]],0))</f>
        <v/>
      </c>
      <c r="BD23" s="105" t="str">
        <f>IF(ISBLANK(Term3_Day_8[[#This Row],[Activity]]),"",IF(_xlfn.XLOOKUP(Term3_Day_8[[#This Row],[Activity]],Types_of_Activity[Type of Activity],Types_of_Activity[Classification])=2,Term3_Day_8[[#This Row],[Elapsed]],0))</f>
        <v/>
      </c>
      <c r="BE23" s="106"/>
      <c r="BF23" s="135"/>
      <c r="BG23" s="135"/>
      <c r="BH23" s="102"/>
      <c r="BI23" s="105" t="str">
        <f>IF(OR(ISBLANK(Term3_Day_9[[#This Row],[Start]]),ISBLANK(Term3_Day_9[[#This Row],[End]])),"",(Term3_Day_9[[#This Row],[End]]-Term3_Day_9[[#This Row],[Start]])*1440)</f>
        <v/>
      </c>
      <c r="BJ23" s="105" t="str">
        <f>IF(ISBLANK(Term3_Day_9[[#This Row],[Activity]]),"",IF(_xlfn.XLOOKUP(Term3_Day_9[[#This Row],[Activity]],Types_of_Activity[Type of Activity],Types_of_Activity[Classification])=1,Term3_Day_9[[#This Row],[Elapsed]],0))</f>
        <v/>
      </c>
      <c r="BK23" s="105" t="str">
        <f>IF(ISBLANK(Term3_Day_9[[#This Row],[Activity]]),"",IF(_xlfn.XLOOKUP(Term3_Day_9[[#This Row],[Activity]],Types_of_Activity[Type of Activity],Types_of_Activity[Classification])=2,Term3_Day_9[[#This Row],[Elapsed]],0))</f>
        <v/>
      </c>
      <c r="BL23" s="106"/>
      <c r="BM23" s="135"/>
      <c r="BN23" s="135"/>
      <c r="BO23" s="102"/>
      <c r="BP23" s="105" t="str">
        <f>IF(OR(ISBLANK(Term3_Day_10[[#This Row],[Start]]),ISBLANK(Term3_Day_10[[#This Row],[End]])),"",(Term3_Day_10[[#This Row],[End]]-Term3_Day_10[[#This Row],[Start]])*1440)</f>
        <v/>
      </c>
      <c r="BQ23" s="105" t="str">
        <f>IF(ISBLANK(Term3_Day_10[[#This Row],[Activity]]),"",IF(_xlfn.XLOOKUP(Term3_Day_10[[#This Row],[Activity]],Types_of_Activity[Type of Activity],Types_of_Activity[Classification])=1,Term3_Day_10[[#This Row],[Elapsed]],0))</f>
        <v/>
      </c>
      <c r="BR23" s="105" t="str">
        <f>IF(ISBLANK(Term3_Day_10[[#This Row],[Activity]]),"",IF(_xlfn.XLOOKUP(Term3_Day_10[[#This Row],[Activity]],Types_of_Activity[Type of Activity],Types_of_Activity[Classification])=2,Term3_Day_10[[#This Row],[Elapsed]],0))</f>
        <v/>
      </c>
      <c r="BS23" s="106"/>
    </row>
    <row r="24" spans="2:71" x14ac:dyDescent="0.3">
      <c r="B24" s="135"/>
      <c r="C24" s="135"/>
      <c r="D24" s="102"/>
      <c r="E24" s="105" t="str">
        <f>IF(OR(ISBLANK(Term3_Day_1[[#This Row],[Start]]),ISBLANK(Term3_Day_1[[#This Row],[End]])),"",(Term3_Day_1[[#This Row],[End]]-Term3_Day_1[[#This Row],[Start]])*1440)</f>
        <v/>
      </c>
      <c r="F24" s="105" t="str">
        <f>IF(ISBLANK(Term3_Day_1[[#This Row],[Activity]]),"",IF(_xlfn.XLOOKUP(Term3_Day_1[[#This Row],[Activity]],Types_of_Activity[Type of Activity],Types_of_Activity[Classification])=1,Term3_Day_1[[#This Row],[Elapsed]],0))</f>
        <v/>
      </c>
      <c r="G24" s="105" t="str">
        <f>IF(ISBLANK(Term3_Day_1[[#This Row],[Activity]]),"",IF(_xlfn.XLOOKUP(Term3_Day_1[[#This Row],[Activity]],Types_of_Activity[Type of Activity],Types_of_Activity[Classification])=2,Term3_Day_1[[#This Row],[Elapsed]],0))</f>
        <v/>
      </c>
      <c r="I24" s="135"/>
      <c r="J24" s="135"/>
      <c r="K24" s="102"/>
      <c r="L24" s="105" t="str">
        <f>IF(OR(ISBLANK(Term3_Day_2[[#This Row],[Start]]),ISBLANK(Term3_Day_2[[#This Row],[End]])),"",(Term3_Day_2[[#This Row],[End]]-Term3_Day_2[[#This Row],[Start]])*1440)</f>
        <v/>
      </c>
      <c r="M24" s="105" t="str">
        <f>IF(ISBLANK(Term3_Day_2[[#This Row],[Activity]]),"",IF(_xlfn.XLOOKUP(Term3_Day_2[[#This Row],[Activity]],Types_of_Activity[Type of Activity],Types_of_Activity[Classification])=1,Term3_Day_2[[#This Row],[Elapsed]],0))</f>
        <v/>
      </c>
      <c r="N24" s="105" t="str">
        <f>IF(ISBLANK(Term3_Day_2[[#This Row],[Activity]]),"",IF(_xlfn.XLOOKUP(Term3_Day_2[[#This Row],[Activity]],Types_of_Activity[Type of Activity],Types_of_Activity[Classification])=2,Term3_Day_2[[#This Row],[Elapsed]],0))</f>
        <v/>
      </c>
      <c r="P24" s="135"/>
      <c r="Q24" s="135"/>
      <c r="R24" s="102"/>
      <c r="S24" s="105" t="str">
        <f>IF(OR(ISBLANK(Term3_Day_3[[#This Row],[Start]]),ISBLANK(Term3_Day_3[[#This Row],[End]])),"",(Term3_Day_3[[#This Row],[End]]-Term3_Day_3[[#This Row],[Start]])*1440)</f>
        <v/>
      </c>
      <c r="T24" s="105" t="str">
        <f>IF(ISBLANK(Term3_Day_3[[#This Row],[Activity]]),"",IF(_xlfn.XLOOKUP(Term3_Day_3[[#This Row],[Activity]],Types_of_Activity[Type of Activity],Types_of_Activity[Classification])=1,Term3_Day_3[[#This Row],[Elapsed]],0))</f>
        <v/>
      </c>
      <c r="U24" s="105" t="str">
        <f>IF(ISBLANK(Term3_Day_3[[#This Row],[Activity]]),"",IF(_xlfn.XLOOKUP(Term3_Day_3[[#This Row],[Activity]],Types_of_Activity[Type of Activity],Types_of_Activity[Classification])=2,Term3_Day_3[[#This Row],[Elapsed]],0))</f>
        <v/>
      </c>
      <c r="W24" s="135"/>
      <c r="X24" s="135"/>
      <c r="Y24" s="102"/>
      <c r="Z24" s="105" t="str">
        <f>IF(OR(ISBLANK(Term3_Day_4[[#This Row],[Start]]),ISBLANK(Term3_Day_4[[#This Row],[End]])),"",(Term3_Day_4[[#This Row],[End]]-Term3_Day_4[[#This Row],[Start]])*1440)</f>
        <v/>
      </c>
      <c r="AA24" s="105" t="str">
        <f>IF(ISBLANK(Term3_Day_4[[#This Row],[Activity]]),"",IF(_xlfn.XLOOKUP(Term3_Day_4[[#This Row],[Activity]],Types_of_Activity[Type of Activity],Types_of_Activity[Classification])=1,Term3_Day_4[[#This Row],[Elapsed]],0))</f>
        <v/>
      </c>
      <c r="AB24" s="105" t="str">
        <f>IF(ISBLANK(Term3_Day_4[[#This Row],[Activity]]),"",IF(_xlfn.XLOOKUP(Term3_Day_4[[#This Row],[Activity]],Types_of_Activity[Type of Activity],Types_of_Activity[Classification])=2,Term3_Day_4[[#This Row],[Elapsed]],0))</f>
        <v/>
      </c>
      <c r="AD24" s="135"/>
      <c r="AE24" s="135"/>
      <c r="AF24" s="102"/>
      <c r="AG24" s="105" t="str">
        <f>IF(OR(ISBLANK(Term3_Day_5[[#This Row],[Start]]),ISBLANK(Term3_Day_5[[#This Row],[End]])),"",(Term3_Day_5[[#This Row],[End]]-Term3_Day_5[[#This Row],[Start]])*1440)</f>
        <v/>
      </c>
      <c r="AH24" s="105" t="str">
        <f>IF(ISBLANK(Term3_Day_5[[#This Row],[Activity]]),"",IF(_xlfn.XLOOKUP(Term3_Day_5[[#This Row],[Activity]],Types_of_Activity[Type of Activity],Types_of_Activity[Classification])=1,Term3_Day_5[[#This Row],[Elapsed]],0))</f>
        <v/>
      </c>
      <c r="AI24" s="105" t="str">
        <f>IF(ISBLANK(Term3_Day_5[[#This Row],[Activity]]),"",IF(_xlfn.XLOOKUP(Term3_Day_5[[#This Row],[Activity]],Types_of_Activity[Type of Activity],Types_of_Activity[Classification])=2,Term3_Day_5[[#This Row],[Elapsed]],0))</f>
        <v/>
      </c>
      <c r="AJ24" s="106"/>
      <c r="AK24" s="135"/>
      <c r="AL24" s="135"/>
      <c r="AM24" s="102"/>
      <c r="AN24" s="105" t="str">
        <f>IF(OR(ISBLANK(Term3_Day_6[[#This Row],[Start]]),ISBLANK(Term3_Day_6[[#This Row],[End]])),"",(Term3_Day_6[[#This Row],[End]]-Term3_Day_6[[#This Row],[Start]])*1440)</f>
        <v/>
      </c>
      <c r="AO24" s="105" t="str">
        <f>IF(ISBLANK(Term3_Day_6[[#This Row],[Activity]]),"",IF(_xlfn.XLOOKUP(Term3_Day_6[[#This Row],[Activity]],Types_of_Activity[Type of Activity],Types_of_Activity[Classification])=1,Term3_Day_6[[#This Row],[Elapsed]],0))</f>
        <v/>
      </c>
      <c r="AP24" s="105" t="str">
        <f>IF(ISBLANK(Term3_Day_6[[#This Row],[Activity]]),"",IF(_xlfn.XLOOKUP(Term3_Day_6[[#This Row],[Activity]],Types_of_Activity[Type of Activity],Types_of_Activity[Classification])=2,Term3_Day_6[[#This Row],[Elapsed]],0))</f>
        <v/>
      </c>
      <c r="AQ24" s="106"/>
      <c r="AR24" s="135"/>
      <c r="AS24" s="135"/>
      <c r="AT24" s="102"/>
      <c r="AU24" s="105" t="str">
        <f>IF(OR(ISBLANK(Term3_Day_7[[#This Row],[Start]]),ISBLANK(Term3_Day_7[[#This Row],[End]])),"",(Term3_Day_7[[#This Row],[End]]-Term3_Day_7[[#This Row],[Start]])*1440)</f>
        <v/>
      </c>
      <c r="AV24" s="105" t="str">
        <f>IF(ISBLANK(Term3_Day_7[[#This Row],[Activity]]),"",IF(_xlfn.XLOOKUP(Term3_Day_7[[#This Row],[Activity]],Types_of_Activity[Type of Activity],Types_of_Activity[Classification])=1,Term3_Day_7[[#This Row],[Elapsed]],0))</f>
        <v/>
      </c>
      <c r="AW24" s="105" t="str">
        <f>IF(ISBLANK(Term3_Day_7[[#This Row],[Activity]]),"",IF(_xlfn.XLOOKUP(Term3_Day_7[[#This Row],[Activity]],Types_of_Activity[Type of Activity],Types_of_Activity[Classification])=2,Term3_Day_7[[#This Row],[Elapsed]],0))</f>
        <v/>
      </c>
      <c r="AX24" s="106"/>
      <c r="AY24" s="135"/>
      <c r="AZ24" s="135"/>
      <c r="BA24" s="102"/>
      <c r="BB24" s="105" t="str">
        <f>IF(OR(ISBLANK(Term3_Day_8[[#This Row],[Start]]),ISBLANK(Term3_Day_8[[#This Row],[End]])),"",(Term3_Day_8[[#This Row],[End]]-Term3_Day_8[[#This Row],[Start]])*1440)</f>
        <v/>
      </c>
      <c r="BC24" s="105" t="str">
        <f>IF(ISBLANK(Term3_Day_8[[#This Row],[Activity]]),"",IF(_xlfn.XLOOKUP(Term3_Day_8[[#This Row],[Activity]],Types_of_Activity[Type of Activity],Types_of_Activity[Classification])=1,Term3_Day_8[[#This Row],[Elapsed]],0))</f>
        <v/>
      </c>
      <c r="BD24" s="105" t="str">
        <f>IF(ISBLANK(Term3_Day_8[[#This Row],[Activity]]),"",IF(_xlfn.XLOOKUP(Term3_Day_8[[#This Row],[Activity]],Types_of_Activity[Type of Activity],Types_of_Activity[Classification])=2,Term3_Day_8[[#This Row],[Elapsed]],0))</f>
        <v/>
      </c>
      <c r="BE24" s="106"/>
      <c r="BF24" s="135"/>
      <c r="BG24" s="135"/>
      <c r="BH24" s="102"/>
      <c r="BI24" s="105" t="str">
        <f>IF(OR(ISBLANK(Term3_Day_9[[#This Row],[Start]]),ISBLANK(Term3_Day_9[[#This Row],[End]])),"",(Term3_Day_9[[#This Row],[End]]-Term3_Day_9[[#This Row],[Start]])*1440)</f>
        <v/>
      </c>
      <c r="BJ24" s="105" t="str">
        <f>IF(ISBLANK(Term3_Day_9[[#This Row],[Activity]]),"",IF(_xlfn.XLOOKUP(Term3_Day_9[[#This Row],[Activity]],Types_of_Activity[Type of Activity],Types_of_Activity[Classification])=1,Term3_Day_9[[#This Row],[Elapsed]],0))</f>
        <v/>
      </c>
      <c r="BK24" s="105" t="str">
        <f>IF(ISBLANK(Term3_Day_9[[#This Row],[Activity]]),"",IF(_xlfn.XLOOKUP(Term3_Day_9[[#This Row],[Activity]],Types_of_Activity[Type of Activity],Types_of_Activity[Classification])=2,Term3_Day_9[[#This Row],[Elapsed]],0))</f>
        <v/>
      </c>
      <c r="BL24" s="106"/>
      <c r="BM24" s="135"/>
      <c r="BN24" s="135"/>
      <c r="BO24" s="102"/>
      <c r="BP24" s="105" t="str">
        <f>IF(OR(ISBLANK(Term3_Day_10[[#This Row],[Start]]),ISBLANK(Term3_Day_10[[#This Row],[End]])),"",(Term3_Day_10[[#This Row],[End]]-Term3_Day_10[[#This Row],[Start]])*1440)</f>
        <v/>
      </c>
      <c r="BQ24" s="105" t="str">
        <f>IF(ISBLANK(Term3_Day_10[[#This Row],[Activity]]),"",IF(_xlfn.XLOOKUP(Term3_Day_10[[#This Row],[Activity]],Types_of_Activity[Type of Activity],Types_of_Activity[Classification])=1,Term3_Day_10[[#This Row],[Elapsed]],0))</f>
        <v/>
      </c>
      <c r="BR24" s="105" t="str">
        <f>IF(ISBLANK(Term3_Day_10[[#This Row],[Activity]]),"",IF(_xlfn.XLOOKUP(Term3_Day_10[[#This Row],[Activity]],Types_of_Activity[Type of Activity],Types_of_Activity[Classification])=2,Term3_Day_10[[#This Row],[Elapsed]],0))</f>
        <v/>
      </c>
      <c r="BS24" s="106"/>
    </row>
    <row r="25" spans="2:71" x14ac:dyDescent="0.3">
      <c r="B25" s="135"/>
      <c r="C25" s="135"/>
      <c r="D25" s="102"/>
      <c r="E25" s="105" t="str">
        <f>IF(OR(ISBLANK(Term3_Day_1[[#This Row],[Start]]),ISBLANK(Term3_Day_1[[#This Row],[End]])),"",(Term3_Day_1[[#This Row],[End]]-Term3_Day_1[[#This Row],[Start]])*1440)</f>
        <v/>
      </c>
      <c r="F25" s="105" t="str">
        <f>IF(ISBLANK(Term3_Day_1[[#This Row],[Activity]]),"",IF(_xlfn.XLOOKUP(Term3_Day_1[[#This Row],[Activity]],Types_of_Activity[Type of Activity],Types_of_Activity[Classification])=1,Term3_Day_1[[#This Row],[Elapsed]],0))</f>
        <v/>
      </c>
      <c r="G25" s="105" t="str">
        <f>IF(ISBLANK(Term3_Day_1[[#This Row],[Activity]]),"",IF(_xlfn.XLOOKUP(Term3_Day_1[[#This Row],[Activity]],Types_of_Activity[Type of Activity],Types_of_Activity[Classification])=2,Term3_Day_1[[#This Row],[Elapsed]],0))</f>
        <v/>
      </c>
      <c r="I25" s="135"/>
      <c r="J25" s="135"/>
      <c r="K25" s="102"/>
      <c r="L25" s="105" t="str">
        <f>IF(OR(ISBLANK(Term3_Day_2[[#This Row],[Start]]),ISBLANK(Term3_Day_2[[#This Row],[End]])),"",(Term3_Day_2[[#This Row],[End]]-Term3_Day_2[[#This Row],[Start]])*1440)</f>
        <v/>
      </c>
      <c r="M25" s="105" t="str">
        <f>IF(ISBLANK(Term3_Day_2[[#This Row],[Activity]]),"",IF(_xlfn.XLOOKUP(Term3_Day_2[[#This Row],[Activity]],Types_of_Activity[Type of Activity],Types_of_Activity[Classification])=1,Term3_Day_2[[#This Row],[Elapsed]],0))</f>
        <v/>
      </c>
      <c r="N25" s="105" t="str">
        <f>IF(ISBLANK(Term3_Day_2[[#This Row],[Activity]]),"",IF(_xlfn.XLOOKUP(Term3_Day_2[[#This Row],[Activity]],Types_of_Activity[Type of Activity],Types_of_Activity[Classification])=2,Term3_Day_2[[#This Row],[Elapsed]],0))</f>
        <v/>
      </c>
      <c r="P25" s="135"/>
      <c r="Q25" s="135"/>
      <c r="R25" s="102"/>
      <c r="S25" s="105" t="str">
        <f>IF(OR(ISBLANK(Term3_Day_3[[#This Row],[Start]]),ISBLANK(Term3_Day_3[[#This Row],[End]])),"",(Term3_Day_3[[#This Row],[End]]-Term3_Day_3[[#This Row],[Start]])*1440)</f>
        <v/>
      </c>
      <c r="T25" s="105" t="str">
        <f>IF(ISBLANK(Term3_Day_3[[#This Row],[Activity]]),"",IF(_xlfn.XLOOKUP(Term3_Day_3[[#This Row],[Activity]],Types_of_Activity[Type of Activity],Types_of_Activity[Classification])=1,Term3_Day_3[[#This Row],[Elapsed]],0))</f>
        <v/>
      </c>
      <c r="U25" s="105" t="str">
        <f>IF(ISBLANK(Term3_Day_3[[#This Row],[Activity]]),"",IF(_xlfn.XLOOKUP(Term3_Day_3[[#This Row],[Activity]],Types_of_Activity[Type of Activity],Types_of_Activity[Classification])=2,Term3_Day_3[[#This Row],[Elapsed]],0))</f>
        <v/>
      </c>
      <c r="W25" s="135"/>
      <c r="X25" s="135"/>
      <c r="Y25" s="102"/>
      <c r="Z25" s="105" t="str">
        <f>IF(OR(ISBLANK(Term3_Day_4[[#This Row],[Start]]),ISBLANK(Term3_Day_4[[#This Row],[End]])),"",(Term3_Day_4[[#This Row],[End]]-Term3_Day_4[[#This Row],[Start]])*1440)</f>
        <v/>
      </c>
      <c r="AA25" s="105" t="str">
        <f>IF(ISBLANK(Term3_Day_4[[#This Row],[Activity]]),"",IF(_xlfn.XLOOKUP(Term3_Day_4[[#This Row],[Activity]],Types_of_Activity[Type of Activity],Types_of_Activity[Classification])=1,Term3_Day_4[[#This Row],[Elapsed]],0))</f>
        <v/>
      </c>
      <c r="AB25" s="105" t="str">
        <f>IF(ISBLANK(Term3_Day_4[[#This Row],[Activity]]),"",IF(_xlfn.XLOOKUP(Term3_Day_4[[#This Row],[Activity]],Types_of_Activity[Type of Activity],Types_of_Activity[Classification])=2,Term3_Day_4[[#This Row],[Elapsed]],0))</f>
        <v/>
      </c>
      <c r="AD25" s="135"/>
      <c r="AE25" s="135"/>
      <c r="AF25" s="102"/>
      <c r="AG25" s="105" t="str">
        <f>IF(OR(ISBLANK(Term3_Day_5[[#This Row],[Start]]),ISBLANK(Term3_Day_5[[#This Row],[End]])),"",(Term3_Day_5[[#This Row],[End]]-Term3_Day_5[[#This Row],[Start]])*1440)</f>
        <v/>
      </c>
      <c r="AH25" s="105" t="str">
        <f>IF(ISBLANK(Term3_Day_5[[#This Row],[Activity]]),"",IF(_xlfn.XLOOKUP(Term3_Day_5[[#This Row],[Activity]],Types_of_Activity[Type of Activity],Types_of_Activity[Classification])=1,Term3_Day_5[[#This Row],[Elapsed]],0))</f>
        <v/>
      </c>
      <c r="AI25" s="105" t="str">
        <f>IF(ISBLANK(Term3_Day_5[[#This Row],[Activity]]),"",IF(_xlfn.XLOOKUP(Term3_Day_5[[#This Row],[Activity]],Types_of_Activity[Type of Activity],Types_of_Activity[Classification])=2,Term3_Day_5[[#This Row],[Elapsed]],0))</f>
        <v/>
      </c>
      <c r="AJ25" s="106"/>
      <c r="AK25" s="135"/>
      <c r="AL25" s="135"/>
      <c r="AM25" s="102"/>
      <c r="AN25" s="105" t="str">
        <f>IF(OR(ISBLANK(Term3_Day_6[[#This Row],[Start]]),ISBLANK(Term3_Day_6[[#This Row],[End]])),"",(Term3_Day_6[[#This Row],[End]]-Term3_Day_6[[#This Row],[Start]])*1440)</f>
        <v/>
      </c>
      <c r="AO25" s="105" t="str">
        <f>IF(ISBLANK(Term3_Day_6[[#This Row],[Activity]]),"",IF(_xlfn.XLOOKUP(Term3_Day_6[[#This Row],[Activity]],Types_of_Activity[Type of Activity],Types_of_Activity[Classification])=1,Term3_Day_6[[#This Row],[Elapsed]],0))</f>
        <v/>
      </c>
      <c r="AP25" s="105" t="str">
        <f>IF(ISBLANK(Term3_Day_6[[#This Row],[Activity]]),"",IF(_xlfn.XLOOKUP(Term3_Day_6[[#This Row],[Activity]],Types_of_Activity[Type of Activity],Types_of_Activity[Classification])=2,Term3_Day_6[[#This Row],[Elapsed]],0))</f>
        <v/>
      </c>
      <c r="AQ25" s="106"/>
      <c r="AR25" s="135"/>
      <c r="AS25" s="135"/>
      <c r="AT25" s="102"/>
      <c r="AU25" s="105" t="str">
        <f>IF(OR(ISBLANK(Term3_Day_7[[#This Row],[Start]]),ISBLANK(Term3_Day_7[[#This Row],[End]])),"",(Term3_Day_7[[#This Row],[End]]-Term3_Day_7[[#This Row],[Start]])*1440)</f>
        <v/>
      </c>
      <c r="AV25" s="105" t="str">
        <f>IF(ISBLANK(Term3_Day_7[[#This Row],[Activity]]),"",IF(_xlfn.XLOOKUP(Term3_Day_7[[#This Row],[Activity]],Types_of_Activity[Type of Activity],Types_of_Activity[Classification])=1,Term3_Day_7[[#This Row],[Elapsed]],0))</f>
        <v/>
      </c>
      <c r="AW25" s="105" t="str">
        <f>IF(ISBLANK(Term3_Day_7[[#This Row],[Activity]]),"",IF(_xlfn.XLOOKUP(Term3_Day_7[[#This Row],[Activity]],Types_of_Activity[Type of Activity],Types_of_Activity[Classification])=2,Term3_Day_7[[#This Row],[Elapsed]],0))</f>
        <v/>
      </c>
      <c r="AX25" s="106"/>
      <c r="AY25" s="135"/>
      <c r="AZ25" s="135"/>
      <c r="BA25" s="102"/>
      <c r="BB25" s="105" t="str">
        <f>IF(OR(ISBLANK(Term3_Day_8[[#This Row],[Start]]),ISBLANK(Term3_Day_8[[#This Row],[End]])),"",(Term3_Day_8[[#This Row],[End]]-Term3_Day_8[[#This Row],[Start]])*1440)</f>
        <v/>
      </c>
      <c r="BC25" s="105" t="str">
        <f>IF(ISBLANK(Term3_Day_8[[#This Row],[Activity]]),"",IF(_xlfn.XLOOKUP(Term3_Day_8[[#This Row],[Activity]],Types_of_Activity[Type of Activity],Types_of_Activity[Classification])=1,Term3_Day_8[[#This Row],[Elapsed]],0))</f>
        <v/>
      </c>
      <c r="BD25" s="105" t="str">
        <f>IF(ISBLANK(Term3_Day_8[[#This Row],[Activity]]),"",IF(_xlfn.XLOOKUP(Term3_Day_8[[#This Row],[Activity]],Types_of_Activity[Type of Activity],Types_of_Activity[Classification])=2,Term3_Day_8[[#This Row],[Elapsed]],0))</f>
        <v/>
      </c>
      <c r="BE25" s="106"/>
      <c r="BF25" s="135"/>
      <c r="BG25" s="135"/>
      <c r="BH25" s="102"/>
      <c r="BI25" s="105" t="str">
        <f>IF(OR(ISBLANK(Term3_Day_9[[#This Row],[Start]]),ISBLANK(Term3_Day_9[[#This Row],[End]])),"",(Term3_Day_9[[#This Row],[End]]-Term3_Day_9[[#This Row],[Start]])*1440)</f>
        <v/>
      </c>
      <c r="BJ25" s="105" t="str">
        <f>IF(ISBLANK(Term3_Day_9[[#This Row],[Activity]]),"",IF(_xlfn.XLOOKUP(Term3_Day_9[[#This Row],[Activity]],Types_of_Activity[Type of Activity],Types_of_Activity[Classification])=1,Term3_Day_9[[#This Row],[Elapsed]],0))</f>
        <v/>
      </c>
      <c r="BK25" s="105" t="str">
        <f>IF(ISBLANK(Term3_Day_9[[#This Row],[Activity]]),"",IF(_xlfn.XLOOKUP(Term3_Day_9[[#This Row],[Activity]],Types_of_Activity[Type of Activity],Types_of_Activity[Classification])=2,Term3_Day_9[[#This Row],[Elapsed]],0))</f>
        <v/>
      </c>
      <c r="BL25" s="106"/>
      <c r="BM25" s="135"/>
      <c r="BN25" s="135"/>
      <c r="BO25" s="102"/>
      <c r="BP25" s="105" t="str">
        <f>IF(OR(ISBLANK(Term3_Day_10[[#This Row],[Start]]),ISBLANK(Term3_Day_10[[#This Row],[End]])),"",(Term3_Day_10[[#This Row],[End]]-Term3_Day_10[[#This Row],[Start]])*1440)</f>
        <v/>
      </c>
      <c r="BQ25" s="105" t="str">
        <f>IF(ISBLANK(Term3_Day_10[[#This Row],[Activity]]),"",IF(_xlfn.XLOOKUP(Term3_Day_10[[#This Row],[Activity]],Types_of_Activity[Type of Activity],Types_of_Activity[Classification])=1,Term3_Day_10[[#This Row],[Elapsed]],0))</f>
        <v/>
      </c>
      <c r="BR25" s="105" t="str">
        <f>IF(ISBLANK(Term3_Day_10[[#This Row],[Activity]]),"",IF(_xlfn.XLOOKUP(Term3_Day_10[[#This Row],[Activity]],Types_of_Activity[Type of Activity],Types_of_Activity[Classification])=2,Term3_Day_10[[#This Row],[Elapsed]],0))</f>
        <v/>
      </c>
      <c r="BS25" s="106"/>
    </row>
    <row r="26" spans="2:71" x14ac:dyDescent="0.3">
      <c r="B26" s="135"/>
      <c r="C26" s="135"/>
      <c r="D26" s="102"/>
      <c r="E26" s="105" t="str">
        <f>IF(OR(ISBLANK(Term3_Day_1[[#This Row],[Start]]),ISBLANK(Term3_Day_1[[#This Row],[End]])),"",(Term3_Day_1[[#This Row],[End]]-Term3_Day_1[[#This Row],[Start]])*1440)</f>
        <v/>
      </c>
      <c r="F26" s="105" t="str">
        <f>IF(ISBLANK(Term3_Day_1[[#This Row],[Activity]]),"",IF(_xlfn.XLOOKUP(Term3_Day_1[[#This Row],[Activity]],Types_of_Activity[Type of Activity],Types_of_Activity[Classification])=1,Term3_Day_1[[#This Row],[Elapsed]],0))</f>
        <v/>
      </c>
      <c r="G26" s="105" t="str">
        <f>IF(ISBLANK(Term3_Day_1[[#This Row],[Activity]]),"",IF(_xlfn.XLOOKUP(Term3_Day_1[[#This Row],[Activity]],Types_of_Activity[Type of Activity],Types_of_Activity[Classification])=2,Term3_Day_1[[#This Row],[Elapsed]],0))</f>
        <v/>
      </c>
      <c r="I26" s="135"/>
      <c r="J26" s="135"/>
      <c r="K26" s="102"/>
      <c r="L26" s="105" t="str">
        <f>IF(OR(ISBLANK(Term3_Day_2[[#This Row],[Start]]),ISBLANK(Term3_Day_2[[#This Row],[End]])),"",(Term3_Day_2[[#This Row],[End]]-Term3_Day_2[[#This Row],[Start]])*1440)</f>
        <v/>
      </c>
      <c r="M26" s="105" t="str">
        <f>IF(ISBLANK(Term3_Day_2[[#This Row],[Activity]]),"",IF(_xlfn.XLOOKUP(Term3_Day_2[[#This Row],[Activity]],Types_of_Activity[Type of Activity],Types_of_Activity[Classification])=1,Term3_Day_2[[#This Row],[Elapsed]],0))</f>
        <v/>
      </c>
      <c r="N26" s="105" t="str">
        <f>IF(ISBLANK(Term3_Day_2[[#This Row],[Activity]]),"",IF(_xlfn.XLOOKUP(Term3_Day_2[[#This Row],[Activity]],Types_of_Activity[Type of Activity],Types_of_Activity[Classification])=2,Term3_Day_2[[#This Row],[Elapsed]],0))</f>
        <v/>
      </c>
      <c r="P26" s="135"/>
      <c r="Q26" s="135"/>
      <c r="R26" s="102"/>
      <c r="S26" s="105" t="str">
        <f>IF(OR(ISBLANK(Term3_Day_3[[#This Row],[Start]]),ISBLANK(Term3_Day_3[[#This Row],[End]])),"",(Term3_Day_3[[#This Row],[End]]-Term3_Day_3[[#This Row],[Start]])*1440)</f>
        <v/>
      </c>
      <c r="T26" s="105" t="str">
        <f>IF(ISBLANK(Term3_Day_3[[#This Row],[Activity]]),"",IF(_xlfn.XLOOKUP(Term3_Day_3[[#This Row],[Activity]],Types_of_Activity[Type of Activity],Types_of_Activity[Classification])=1,Term3_Day_3[[#This Row],[Elapsed]],0))</f>
        <v/>
      </c>
      <c r="U26" s="105" t="str">
        <f>IF(ISBLANK(Term3_Day_3[[#This Row],[Activity]]),"",IF(_xlfn.XLOOKUP(Term3_Day_3[[#This Row],[Activity]],Types_of_Activity[Type of Activity],Types_of_Activity[Classification])=2,Term3_Day_3[[#This Row],[Elapsed]],0))</f>
        <v/>
      </c>
      <c r="W26" s="135"/>
      <c r="X26" s="135"/>
      <c r="Y26" s="102"/>
      <c r="Z26" s="105" t="str">
        <f>IF(OR(ISBLANK(Term3_Day_4[[#This Row],[Start]]),ISBLANK(Term3_Day_4[[#This Row],[End]])),"",(Term3_Day_4[[#This Row],[End]]-Term3_Day_4[[#This Row],[Start]])*1440)</f>
        <v/>
      </c>
      <c r="AA26" s="105" t="str">
        <f>IF(ISBLANK(Term3_Day_4[[#This Row],[Activity]]),"",IF(_xlfn.XLOOKUP(Term3_Day_4[[#This Row],[Activity]],Types_of_Activity[Type of Activity],Types_of_Activity[Classification])=1,Term3_Day_4[[#This Row],[Elapsed]],0))</f>
        <v/>
      </c>
      <c r="AB26" s="105" t="str">
        <f>IF(ISBLANK(Term3_Day_4[[#This Row],[Activity]]),"",IF(_xlfn.XLOOKUP(Term3_Day_4[[#This Row],[Activity]],Types_of_Activity[Type of Activity],Types_of_Activity[Classification])=2,Term3_Day_4[[#This Row],[Elapsed]],0))</f>
        <v/>
      </c>
      <c r="AD26" s="135"/>
      <c r="AE26" s="135"/>
      <c r="AF26" s="102"/>
      <c r="AG26" s="105" t="str">
        <f>IF(OR(ISBLANK(Term3_Day_5[[#This Row],[Start]]),ISBLANK(Term3_Day_5[[#This Row],[End]])),"",(Term3_Day_5[[#This Row],[End]]-Term3_Day_5[[#This Row],[Start]])*1440)</f>
        <v/>
      </c>
      <c r="AH26" s="105" t="str">
        <f>IF(ISBLANK(Term3_Day_5[[#This Row],[Activity]]),"",IF(_xlfn.XLOOKUP(Term3_Day_5[[#This Row],[Activity]],Types_of_Activity[Type of Activity],Types_of_Activity[Classification])=1,Term3_Day_5[[#This Row],[Elapsed]],0))</f>
        <v/>
      </c>
      <c r="AI26" s="105" t="str">
        <f>IF(ISBLANK(Term3_Day_5[[#This Row],[Activity]]),"",IF(_xlfn.XLOOKUP(Term3_Day_5[[#This Row],[Activity]],Types_of_Activity[Type of Activity],Types_of_Activity[Classification])=2,Term3_Day_5[[#This Row],[Elapsed]],0))</f>
        <v/>
      </c>
      <c r="AJ26" s="106"/>
      <c r="AK26" s="135"/>
      <c r="AL26" s="135"/>
      <c r="AM26" s="102"/>
      <c r="AN26" s="105" t="str">
        <f>IF(OR(ISBLANK(Term3_Day_6[[#This Row],[Start]]),ISBLANK(Term3_Day_6[[#This Row],[End]])),"",(Term3_Day_6[[#This Row],[End]]-Term3_Day_6[[#This Row],[Start]])*1440)</f>
        <v/>
      </c>
      <c r="AO26" s="105" t="str">
        <f>IF(ISBLANK(Term3_Day_6[[#This Row],[Activity]]),"",IF(_xlfn.XLOOKUP(Term3_Day_6[[#This Row],[Activity]],Types_of_Activity[Type of Activity],Types_of_Activity[Classification])=1,Term3_Day_6[[#This Row],[Elapsed]],0))</f>
        <v/>
      </c>
      <c r="AP26" s="105" t="str">
        <f>IF(ISBLANK(Term3_Day_6[[#This Row],[Activity]]),"",IF(_xlfn.XLOOKUP(Term3_Day_6[[#This Row],[Activity]],Types_of_Activity[Type of Activity],Types_of_Activity[Classification])=2,Term3_Day_6[[#This Row],[Elapsed]],0))</f>
        <v/>
      </c>
      <c r="AQ26" s="106"/>
      <c r="AR26" s="135"/>
      <c r="AS26" s="135"/>
      <c r="AT26" s="102"/>
      <c r="AU26" s="105" t="str">
        <f>IF(OR(ISBLANK(Term3_Day_7[[#This Row],[Start]]),ISBLANK(Term3_Day_7[[#This Row],[End]])),"",(Term3_Day_7[[#This Row],[End]]-Term3_Day_7[[#This Row],[Start]])*1440)</f>
        <v/>
      </c>
      <c r="AV26" s="105" t="str">
        <f>IF(ISBLANK(Term3_Day_7[[#This Row],[Activity]]),"",IF(_xlfn.XLOOKUP(Term3_Day_7[[#This Row],[Activity]],Types_of_Activity[Type of Activity],Types_of_Activity[Classification])=1,Term3_Day_7[[#This Row],[Elapsed]],0))</f>
        <v/>
      </c>
      <c r="AW26" s="105" t="str">
        <f>IF(ISBLANK(Term3_Day_7[[#This Row],[Activity]]),"",IF(_xlfn.XLOOKUP(Term3_Day_7[[#This Row],[Activity]],Types_of_Activity[Type of Activity],Types_of_Activity[Classification])=2,Term3_Day_7[[#This Row],[Elapsed]],0))</f>
        <v/>
      </c>
      <c r="AX26" s="106"/>
      <c r="AY26" s="135"/>
      <c r="AZ26" s="135"/>
      <c r="BA26" s="102"/>
      <c r="BB26" s="105" t="str">
        <f>IF(OR(ISBLANK(Term3_Day_8[[#This Row],[Start]]),ISBLANK(Term3_Day_8[[#This Row],[End]])),"",(Term3_Day_8[[#This Row],[End]]-Term3_Day_8[[#This Row],[Start]])*1440)</f>
        <v/>
      </c>
      <c r="BC26" s="105" t="str">
        <f>IF(ISBLANK(Term3_Day_8[[#This Row],[Activity]]),"",IF(_xlfn.XLOOKUP(Term3_Day_8[[#This Row],[Activity]],Types_of_Activity[Type of Activity],Types_of_Activity[Classification])=1,Term3_Day_8[[#This Row],[Elapsed]],0))</f>
        <v/>
      </c>
      <c r="BD26" s="105" t="str">
        <f>IF(ISBLANK(Term3_Day_8[[#This Row],[Activity]]),"",IF(_xlfn.XLOOKUP(Term3_Day_8[[#This Row],[Activity]],Types_of_Activity[Type of Activity],Types_of_Activity[Classification])=2,Term3_Day_8[[#This Row],[Elapsed]],0))</f>
        <v/>
      </c>
      <c r="BE26" s="106"/>
      <c r="BF26" s="135"/>
      <c r="BG26" s="135"/>
      <c r="BH26" s="102"/>
      <c r="BI26" s="105" t="str">
        <f>IF(OR(ISBLANK(Term3_Day_9[[#This Row],[Start]]),ISBLANK(Term3_Day_9[[#This Row],[End]])),"",(Term3_Day_9[[#This Row],[End]]-Term3_Day_9[[#This Row],[Start]])*1440)</f>
        <v/>
      </c>
      <c r="BJ26" s="105" t="str">
        <f>IF(ISBLANK(Term3_Day_9[[#This Row],[Activity]]),"",IF(_xlfn.XLOOKUP(Term3_Day_9[[#This Row],[Activity]],Types_of_Activity[Type of Activity],Types_of_Activity[Classification])=1,Term3_Day_9[[#This Row],[Elapsed]],0))</f>
        <v/>
      </c>
      <c r="BK26" s="105" t="str">
        <f>IF(ISBLANK(Term3_Day_9[[#This Row],[Activity]]),"",IF(_xlfn.XLOOKUP(Term3_Day_9[[#This Row],[Activity]],Types_of_Activity[Type of Activity],Types_of_Activity[Classification])=2,Term3_Day_9[[#This Row],[Elapsed]],0))</f>
        <v/>
      </c>
      <c r="BL26" s="106"/>
      <c r="BM26" s="135"/>
      <c r="BN26" s="135"/>
      <c r="BO26" s="102"/>
      <c r="BP26" s="105" t="str">
        <f>IF(OR(ISBLANK(Term3_Day_10[[#This Row],[Start]]),ISBLANK(Term3_Day_10[[#This Row],[End]])),"",(Term3_Day_10[[#This Row],[End]]-Term3_Day_10[[#This Row],[Start]])*1440)</f>
        <v/>
      </c>
      <c r="BQ26" s="105" t="str">
        <f>IF(ISBLANK(Term3_Day_10[[#This Row],[Activity]]),"",IF(_xlfn.XLOOKUP(Term3_Day_10[[#This Row],[Activity]],Types_of_Activity[Type of Activity],Types_of_Activity[Classification])=1,Term3_Day_10[[#This Row],[Elapsed]],0))</f>
        <v/>
      </c>
      <c r="BR26" s="105" t="str">
        <f>IF(ISBLANK(Term3_Day_10[[#This Row],[Activity]]),"",IF(_xlfn.XLOOKUP(Term3_Day_10[[#This Row],[Activity]],Types_of_Activity[Type of Activity],Types_of_Activity[Classification])=2,Term3_Day_10[[#This Row],[Elapsed]],0))</f>
        <v/>
      </c>
      <c r="BS26" s="106"/>
    </row>
    <row r="27" spans="2:71" x14ac:dyDescent="0.3">
      <c r="B27" s="135"/>
      <c r="C27" s="135"/>
      <c r="D27" s="102"/>
      <c r="E27" s="105" t="str">
        <f>IF(OR(ISBLANK(Term3_Day_1[[#This Row],[Start]]),ISBLANK(Term3_Day_1[[#This Row],[End]])),"",(Term3_Day_1[[#This Row],[End]]-Term3_Day_1[[#This Row],[Start]])*1440)</f>
        <v/>
      </c>
      <c r="F27" s="105" t="str">
        <f>IF(ISBLANK(Term3_Day_1[[#This Row],[Activity]]),"",IF(_xlfn.XLOOKUP(Term3_Day_1[[#This Row],[Activity]],Types_of_Activity[Type of Activity],Types_of_Activity[Classification])=1,Term3_Day_1[[#This Row],[Elapsed]],0))</f>
        <v/>
      </c>
      <c r="G27" s="105" t="str">
        <f>IF(ISBLANK(Term3_Day_1[[#This Row],[Activity]]),"",IF(_xlfn.XLOOKUP(Term3_Day_1[[#This Row],[Activity]],Types_of_Activity[Type of Activity],Types_of_Activity[Classification])=2,Term3_Day_1[[#This Row],[Elapsed]],0))</f>
        <v/>
      </c>
      <c r="I27" s="135"/>
      <c r="J27" s="135"/>
      <c r="K27" s="102"/>
      <c r="L27" s="105" t="str">
        <f>IF(OR(ISBLANK(Term3_Day_2[[#This Row],[Start]]),ISBLANK(Term3_Day_2[[#This Row],[End]])),"",(Term3_Day_2[[#This Row],[End]]-Term3_Day_2[[#This Row],[Start]])*1440)</f>
        <v/>
      </c>
      <c r="M27" s="105" t="str">
        <f>IF(ISBLANK(Term3_Day_2[[#This Row],[Activity]]),"",IF(_xlfn.XLOOKUP(Term3_Day_2[[#This Row],[Activity]],Types_of_Activity[Type of Activity],Types_of_Activity[Classification])=1,Term3_Day_2[[#This Row],[Elapsed]],0))</f>
        <v/>
      </c>
      <c r="N27" s="105" t="str">
        <f>IF(ISBLANK(Term3_Day_2[[#This Row],[Activity]]),"",IF(_xlfn.XLOOKUP(Term3_Day_2[[#This Row],[Activity]],Types_of_Activity[Type of Activity],Types_of_Activity[Classification])=2,Term3_Day_2[[#This Row],[Elapsed]],0))</f>
        <v/>
      </c>
      <c r="P27" s="135"/>
      <c r="Q27" s="135"/>
      <c r="R27" s="102"/>
      <c r="S27" s="105" t="str">
        <f>IF(OR(ISBLANK(Term3_Day_3[[#This Row],[Start]]),ISBLANK(Term3_Day_3[[#This Row],[End]])),"",(Term3_Day_3[[#This Row],[End]]-Term3_Day_3[[#This Row],[Start]])*1440)</f>
        <v/>
      </c>
      <c r="T27" s="105" t="str">
        <f>IF(ISBLANK(Term3_Day_3[[#This Row],[Activity]]),"",IF(_xlfn.XLOOKUP(Term3_Day_3[[#This Row],[Activity]],Types_of_Activity[Type of Activity],Types_of_Activity[Classification])=1,Term3_Day_3[[#This Row],[Elapsed]],0))</f>
        <v/>
      </c>
      <c r="U27" s="105" t="str">
        <f>IF(ISBLANK(Term3_Day_3[[#This Row],[Activity]]),"",IF(_xlfn.XLOOKUP(Term3_Day_3[[#This Row],[Activity]],Types_of_Activity[Type of Activity],Types_of_Activity[Classification])=2,Term3_Day_3[[#This Row],[Elapsed]],0))</f>
        <v/>
      </c>
      <c r="W27" s="135"/>
      <c r="X27" s="135"/>
      <c r="Y27" s="102"/>
      <c r="Z27" s="105" t="str">
        <f>IF(OR(ISBLANK(Term3_Day_4[[#This Row],[Start]]),ISBLANK(Term3_Day_4[[#This Row],[End]])),"",(Term3_Day_4[[#This Row],[End]]-Term3_Day_4[[#This Row],[Start]])*1440)</f>
        <v/>
      </c>
      <c r="AA27" s="105" t="str">
        <f>IF(ISBLANK(Term3_Day_4[[#This Row],[Activity]]),"",IF(_xlfn.XLOOKUP(Term3_Day_4[[#This Row],[Activity]],Types_of_Activity[Type of Activity],Types_of_Activity[Classification])=1,Term3_Day_4[[#This Row],[Elapsed]],0))</f>
        <v/>
      </c>
      <c r="AB27" s="105" t="str">
        <f>IF(ISBLANK(Term3_Day_4[[#This Row],[Activity]]),"",IF(_xlfn.XLOOKUP(Term3_Day_4[[#This Row],[Activity]],Types_of_Activity[Type of Activity],Types_of_Activity[Classification])=2,Term3_Day_4[[#This Row],[Elapsed]],0))</f>
        <v/>
      </c>
      <c r="AD27" s="135"/>
      <c r="AE27" s="135"/>
      <c r="AF27" s="102"/>
      <c r="AG27" s="105" t="str">
        <f>IF(OR(ISBLANK(Term3_Day_5[[#This Row],[Start]]),ISBLANK(Term3_Day_5[[#This Row],[End]])),"",(Term3_Day_5[[#This Row],[End]]-Term3_Day_5[[#This Row],[Start]])*1440)</f>
        <v/>
      </c>
      <c r="AH27" s="105" t="str">
        <f>IF(ISBLANK(Term3_Day_5[[#This Row],[Activity]]),"",IF(_xlfn.XLOOKUP(Term3_Day_5[[#This Row],[Activity]],Types_of_Activity[Type of Activity],Types_of_Activity[Classification])=1,Term3_Day_5[[#This Row],[Elapsed]],0))</f>
        <v/>
      </c>
      <c r="AI27" s="105" t="str">
        <f>IF(ISBLANK(Term3_Day_5[[#This Row],[Activity]]),"",IF(_xlfn.XLOOKUP(Term3_Day_5[[#This Row],[Activity]],Types_of_Activity[Type of Activity],Types_of_Activity[Classification])=2,Term3_Day_5[[#This Row],[Elapsed]],0))</f>
        <v/>
      </c>
      <c r="AJ27" s="106"/>
      <c r="AK27" s="135"/>
      <c r="AL27" s="135"/>
      <c r="AM27" s="102"/>
      <c r="AN27" s="105" t="str">
        <f>IF(OR(ISBLANK(Term3_Day_6[[#This Row],[Start]]),ISBLANK(Term3_Day_6[[#This Row],[End]])),"",(Term3_Day_6[[#This Row],[End]]-Term3_Day_6[[#This Row],[Start]])*1440)</f>
        <v/>
      </c>
      <c r="AO27" s="105" t="str">
        <f>IF(ISBLANK(Term3_Day_6[[#This Row],[Activity]]),"",IF(_xlfn.XLOOKUP(Term3_Day_6[[#This Row],[Activity]],Types_of_Activity[Type of Activity],Types_of_Activity[Classification])=1,Term3_Day_6[[#This Row],[Elapsed]],0))</f>
        <v/>
      </c>
      <c r="AP27" s="105" t="str">
        <f>IF(ISBLANK(Term3_Day_6[[#This Row],[Activity]]),"",IF(_xlfn.XLOOKUP(Term3_Day_6[[#This Row],[Activity]],Types_of_Activity[Type of Activity],Types_of_Activity[Classification])=2,Term3_Day_6[[#This Row],[Elapsed]],0))</f>
        <v/>
      </c>
      <c r="AQ27" s="106"/>
      <c r="AR27" s="135"/>
      <c r="AS27" s="135"/>
      <c r="AT27" s="102"/>
      <c r="AU27" s="105" t="str">
        <f>IF(OR(ISBLANK(Term3_Day_7[[#This Row],[Start]]),ISBLANK(Term3_Day_7[[#This Row],[End]])),"",(Term3_Day_7[[#This Row],[End]]-Term3_Day_7[[#This Row],[Start]])*1440)</f>
        <v/>
      </c>
      <c r="AV27" s="105" t="str">
        <f>IF(ISBLANK(Term3_Day_7[[#This Row],[Activity]]),"",IF(_xlfn.XLOOKUP(Term3_Day_7[[#This Row],[Activity]],Types_of_Activity[Type of Activity],Types_of_Activity[Classification])=1,Term3_Day_7[[#This Row],[Elapsed]],0))</f>
        <v/>
      </c>
      <c r="AW27" s="105" t="str">
        <f>IF(ISBLANK(Term3_Day_7[[#This Row],[Activity]]),"",IF(_xlfn.XLOOKUP(Term3_Day_7[[#This Row],[Activity]],Types_of_Activity[Type of Activity],Types_of_Activity[Classification])=2,Term3_Day_7[[#This Row],[Elapsed]],0))</f>
        <v/>
      </c>
      <c r="AX27" s="106"/>
      <c r="AY27" s="135"/>
      <c r="AZ27" s="135"/>
      <c r="BA27" s="102"/>
      <c r="BB27" s="105" t="str">
        <f>IF(OR(ISBLANK(Term3_Day_8[[#This Row],[Start]]),ISBLANK(Term3_Day_8[[#This Row],[End]])),"",(Term3_Day_8[[#This Row],[End]]-Term3_Day_8[[#This Row],[Start]])*1440)</f>
        <v/>
      </c>
      <c r="BC27" s="105" t="str">
        <f>IF(ISBLANK(Term3_Day_8[[#This Row],[Activity]]),"",IF(_xlfn.XLOOKUP(Term3_Day_8[[#This Row],[Activity]],Types_of_Activity[Type of Activity],Types_of_Activity[Classification])=1,Term3_Day_8[[#This Row],[Elapsed]],0))</f>
        <v/>
      </c>
      <c r="BD27" s="105" t="str">
        <f>IF(ISBLANK(Term3_Day_8[[#This Row],[Activity]]),"",IF(_xlfn.XLOOKUP(Term3_Day_8[[#This Row],[Activity]],Types_of_Activity[Type of Activity],Types_of_Activity[Classification])=2,Term3_Day_8[[#This Row],[Elapsed]],0))</f>
        <v/>
      </c>
      <c r="BE27" s="106"/>
      <c r="BF27" s="135"/>
      <c r="BG27" s="135"/>
      <c r="BH27" s="102"/>
      <c r="BI27" s="105" t="str">
        <f>IF(OR(ISBLANK(Term3_Day_9[[#This Row],[Start]]),ISBLANK(Term3_Day_9[[#This Row],[End]])),"",(Term3_Day_9[[#This Row],[End]]-Term3_Day_9[[#This Row],[Start]])*1440)</f>
        <v/>
      </c>
      <c r="BJ27" s="105" t="str">
        <f>IF(ISBLANK(Term3_Day_9[[#This Row],[Activity]]),"",IF(_xlfn.XLOOKUP(Term3_Day_9[[#This Row],[Activity]],Types_of_Activity[Type of Activity],Types_of_Activity[Classification])=1,Term3_Day_9[[#This Row],[Elapsed]],0))</f>
        <v/>
      </c>
      <c r="BK27" s="105" t="str">
        <f>IF(ISBLANK(Term3_Day_9[[#This Row],[Activity]]),"",IF(_xlfn.XLOOKUP(Term3_Day_9[[#This Row],[Activity]],Types_of_Activity[Type of Activity],Types_of_Activity[Classification])=2,Term3_Day_9[[#This Row],[Elapsed]],0))</f>
        <v/>
      </c>
      <c r="BL27" s="106"/>
      <c r="BM27" s="135"/>
      <c r="BN27" s="135"/>
      <c r="BO27" s="102"/>
      <c r="BP27" s="105" t="str">
        <f>IF(OR(ISBLANK(Term3_Day_10[[#This Row],[Start]]),ISBLANK(Term3_Day_10[[#This Row],[End]])),"",(Term3_Day_10[[#This Row],[End]]-Term3_Day_10[[#This Row],[Start]])*1440)</f>
        <v/>
      </c>
      <c r="BQ27" s="105" t="str">
        <f>IF(ISBLANK(Term3_Day_10[[#This Row],[Activity]]),"",IF(_xlfn.XLOOKUP(Term3_Day_10[[#This Row],[Activity]],Types_of_Activity[Type of Activity],Types_of_Activity[Classification])=1,Term3_Day_10[[#This Row],[Elapsed]],0))</f>
        <v/>
      </c>
      <c r="BR27" s="105" t="str">
        <f>IF(ISBLANK(Term3_Day_10[[#This Row],[Activity]]),"",IF(_xlfn.XLOOKUP(Term3_Day_10[[#This Row],[Activity]],Types_of_Activity[Type of Activity],Types_of_Activity[Classification])=2,Term3_Day_10[[#This Row],[Elapsed]],0))</f>
        <v/>
      </c>
      <c r="BS27" s="106"/>
    </row>
    <row r="28" spans="2:71" x14ac:dyDescent="0.3">
      <c r="B28" s="135"/>
      <c r="C28" s="135"/>
      <c r="D28" s="102"/>
      <c r="E28" s="105" t="str">
        <f>IF(OR(ISBLANK(Term3_Day_1[[#This Row],[Start]]),ISBLANK(Term3_Day_1[[#This Row],[End]])),"",(Term3_Day_1[[#This Row],[End]]-Term3_Day_1[[#This Row],[Start]])*1440)</f>
        <v/>
      </c>
      <c r="F28" s="105" t="str">
        <f>IF(ISBLANK(Term3_Day_1[[#This Row],[Activity]]),"",IF(_xlfn.XLOOKUP(Term3_Day_1[[#This Row],[Activity]],Types_of_Activity[Type of Activity],Types_of_Activity[Classification])=1,Term3_Day_1[[#This Row],[Elapsed]],0))</f>
        <v/>
      </c>
      <c r="G28" s="105" t="str">
        <f>IF(ISBLANK(Term3_Day_1[[#This Row],[Activity]]),"",IF(_xlfn.XLOOKUP(Term3_Day_1[[#This Row],[Activity]],Types_of_Activity[Type of Activity],Types_of_Activity[Classification])=2,Term3_Day_1[[#This Row],[Elapsed]],0))</f>
        <v/>
      </c>
      <c r="I28" s="135"/>
      <c r="J28" s="135"/>
      <c r="K28" s="102"/>
      <c r="L28" s="105" t="str">
        <f>IF(OR(ISBLANK(Term3_Day_2[[#This Row],[Start]]),ISBLANK(Term3_Day_2[[#This Row],[End]])),"",(Term3_Day_2[[#This Row],[End]]-Term3_Day_2[[#This Row],[Start]])*1440)</f>
        <v/>
      </c>
      <c r="M28" s="105" t="str">
        <f>IF(ISBLANK(Term3_Day_2[[#This Row],[Activity]]),"",IF(_xlfn.XLOOKUP(Term3_Day_2[[#This Row],[Activity]],Types_of_Activity[Type of Activity],Types_of_Activity[Classification])=1,Term3_Day_2[[#This Row],[Elapsed]],0))</f>
        <v/>
      </c>
      <c r="N28" s="105" t="str">
        <f>IF(ISBLANK(Term3_Day_2[[#This Row],[Activity]]),"",IF(_xlfn.XLOOKUP(Term3_Day_2[[#This Row],[Activity]],Types_of_Activity[Type of Activity],Types_of_Activity[Classification])=2,Term3_Day_2[[#This Row],[Elapsed]],0))</f>
        <v/>
      </c>
      <c r="P28" s="135"/>
      <c r="Q28" s="135"/>
      <c r="R28" s="102"/>
      <c r="S28" s="105" t="str">
        <f>IF(OR(ISBLANK(Term3_Day_3[[#This Row],[Start]]),ISBLANK(Term3_Day_3[[#This Row],[End]])),"",(Term3_Day_3[[#This Row],[End]]-Term3_Day_3[[#This Row],[Start]])*1440)</f>
        <v/>
      </c>
      <c r="T28" s="105" t="str">
        <f>IF(ISBLANK(Term3_Day_3[[#This Row],[Activity]]),"",IF(_xlfn.XLOOKUP(Term3_Day_3[[#This Row],[Activity]],Types_of_Activity[Type of Activity],Types_of_Activity[Classification])=1,Term3_Day_3[[#This Row],[Elapsed]],0))</f>
        <v/>
      </c>
      <c r="U28" s="105" t="str">
        <f>IF(ISBLANK(Term3_Day_3[[#This Row],[Activity]]),"",IF(_xlfn.XLOOKUP(Term3_Day_3[[#This Row],[Activity]],Types_of_Activity[Type of Activity],Types_of_Activity[Classification])=2,Term3_Day_3[[#This Row],[Elapsed]],0))</f>
        <v/>
      </c>
      <c r="W28" s="135"/>
      <c r="X28" s="135"/>
      <c r="Y28" s="102"/>
      <c r="Z28" s="105" t="str">
        <f>IF(OR(ISBLANK(Term3_Day_4[[#This Row],[Start]]),ISBLANK(Term3_Day_4[[#This Row],[End]])),"",(Term3_Day_4[[#This Row],[End]]-Term3_Day_4[[#This Row],[Start]])*1440)</f>
        <v/>
      </c>
      <c r="AA28" s="105" t="str">
        <f>IF(ISBLANK(Term3_Day_4[[#This Row],[Activity]]),"",IF(_xlfn.XLOOKUP(Term3_Day_4[[#This Row],[Activity]],Types_of_Activity[Type of Activity],Types_of_Activity[Classification])=1,Term3_Day_4[[#This Row],[Elapsed]],0))</f>
        <v/>
      </c>
      <c r="AB28" s="105" t="str">
        <f>IF(ISBLANK(Term3_Day_4[[#This Row],[Activity]]),"",IF(_xlfn.XLOOKUP(Term3_Day_4[[#This Row],[Activity]],Types_of_Activity[Type of Activity],Types_of_Activity[Classification])=2,Term3_Day_4[[#This Row],[Elapsed]],0))</f>
        <v/>
      </c>
      <c r="AD28" s="135"/>
      <c r="AE28" s="135"/>
      <c r="AF28" s="102"/>
      <c r="AG28" s="105" t="str">
        <f>IF(OR(ISBLANK(Term3_Day_5[[#This Row],[Start]]),ISBLANK(Term3_Day_5[[#This Row],[End]])),"",(Term3_Day_5[[#This Row],[End]]-Term3_Day_5[[#This Row],[Start]])*1440)</f>
        <v/>
      </c>
      <c r="AH28" s="105" t="str">
        <f>IF(ISBLANK(Term3_Day_5[[#This Row],[Activity]]),"",IF(_xlfn.XLOOKUP(Term3_Day_5[[#This Row],[Activity]],Types_of_Activity[Type of Activity],Types_of_Activity[Classification])=1,Term3_Day_5[[#This Row],[Elapsed]],0))</f>
        <v/>
      </c>
      <c r="AI28" s="105" t="str">
        <f>IF(ISBLANK(Term3_Day_5[[#This Row],[Activity]]),"",IF(_xlfn.XLOOKUP(Term3_Day_5[[#This Row],[Activity]],Types_of_Activity[Type of Activity],Types_of_Activity[Classification])=2,Term3_Day_5[[#This Row],[Elapsed]],0))</f>
        <v/>
      </c>
      <c r="AJ28" s="106"/>
      <c r="AK28" s="135"/>
      <c r="AL28" s="135"/>
      <c r="AM28" s="102"/>
      <c r="AN28" s="105" t="str">
        <f>IF(OR(ISBLANK(Term3_Day_6[[#This Row],[Start]]),ISBLANK(Term3_Day_6[[#This Row],[End]])),"",(Term3_Day_6[[#This Row],[End]]-Term3_Day_6[[#This Row],[Start]])*1440)</f>
        <v/>
      </c>
      <c r="AO28" s="105" t="str">
        <f>IF(ISBLANK(Term3_Day_6[[#This Row],[Activity]]),"",IF(_xlfn.XLOOKUP(Term3_Day_6[[#This Row],[Activity]],Types_of_Activity[Type of Activity],Types_of_Activity[Classification])=1,Term3_Day_6[[#This Row],[Elapsed]],0))</f>
        <v/>
      </c>
      <c r="AP28" s="105" t="str">
        <f>IF(ISBLANK(Term3_Day_6[[#This Row],[Activity]]),"",IF(_xlfn.XLOOKUP(Term3_Day_6[[#This Row],[Activity]],Types_of_Activity[Type of Activity],Types_of_Activity[Classification])=2,Term3_Day_6[[#This Row],[Elapsed]],0))</f>
        <v/>
      </c>
      <c r="AQ28" s="106"/>
      <c r="AR28" s="135"/>
      <c r="AS28" s="135"/>
      <c r="AT28" s="102"/>
      <c r="AU28" s="105" t="str">
        <f>IF(OR(ISBLANK(Term3_Day_7[[#This Row],[Start]]),ISBLANK(Term3_Day_7[[#This Row],[End]])),"",(Term3_Day_7[[#This Row],[End]]-Term3_Day_7[[#This Row],[Start]])*1440)</f>
        <v/>
      </c>
      <c r="AV28" s="105" t="str">
        <f>IF(ISBLANK(Term3_Day_7[[#This Row],[Activity]]),"",IF(_xlfn.XLOOKUP(Term3_Day_7[[#This Row],[Activity]],Types_of_Activity[Type of Activity],Types_of_Activity[Classification])=1,Term3_Day_7[[#This Row],[Elapsed]],0))</f>
        <v/>
      </c>
      <c r="AW28" s="105" t="str">
        <f>IF(ISBLANK(Term3_Day_7[[#This Row],[Activity]]),"",IF(_xlfn.XLOOKUP(Term3_Day_7[[#This Row],[Activity]],Types_of_Activity[Type of Activity],Types_of_Activity[Classification])=2,Term3_Day_7[[#This Row],[Elapsed]],0))</f>
        <v/>
      </c>
      <c r="AX28" s="106"/>
      <c r="AY28" s="135"/>
      <c r="AZ28" s="135"/>
      <c r="BA28" s="102"/>
      <c r="BB28" s="105" t="str">
        <f>IF(OR(ISBLANK(Term3_Day_8[[#This Row],[Start]]),ISBLANK(Term3_Day_8[[#This Row],[End]])),"",(Term3_Day_8[[#This Row],[End]]-Term3_Day_8[[#This Row],[Start]])*1440)</f>
        <v/>
      </c>
      <c r="BC28" s="105" t="str">
        <f>IF(ISBLANK(Term3_Day_8[[#This Row],[Activity]]),"",IF(_xlfn.XLOOKUP(Term3_Day_8[[#This Row],[Activity]],Types_of_Activity[Type of Activity],Types_of_Activity[Classification])=1,Term3_Day_8[[#This Row],[Elapsed]],0))</f>
        <v/>
      </c>
      <c r="BD28" s="105" t="str">
        <f>IF(ISBLANK(Term3_Day_8[[#This Row],[Activity]]),"",IF(_xlfn.XLOOKUP(Term3_Day_8[[#This Row],[Activity]],Types_of_Activity[Type of Activity],Types_of_Activity[Classification])=2,Term3_Day_8[[#This Row],[Elapsed]],0))</f>
        <v/>
      </c>
      <c r="BE28" s="106"/>
      <c r="BF28" s="135"/>
      <c r="BG28" s="135"/>
      <c r="BH28" s="102"/>
      <c r="BI28" s="105" t="str">
        <f>IF(OR(ISBLANK(Term3_Day_9[[#This Row],[Start]]),ISBLANK(Term3_Day_9[[#This Row],[End]])),"",(Term3_Day_9[[#This Row],[End]]-Term3_Day_9[[#This Row],[Start]])*1440)</f>
        <v/>
      </c>
      <c r="BJ28" s="105" t="str">
        <f>IF(ISBLANK(Term3_Day_9[[#This Row],[Activity]]),"",IF(_xlfn.XLOOKUP(Term3_Day_9[[#This Row],[Activity]],Types_of_Activity[Type of Activity],Types_of_Activity[Classification])=1,Term3_Day_9[[#This Row],[Elapsed]],0))</f>
        <v/>
      </c>
      <c r="BK28" s="105" t="str">
        <f>IF(ISBLANK(Term3_Day_9[[#This Row],[Activity]]),"",IF(_xlfn.XLOOKUP(Term3_Day_9[[#This Row],[Activity]],Types_of_Activity[Type of Activity],Types_of_Activity[Classification])=2,Term3_Day_9[[#This Row],[Elapsed]],0))</f>
        <v/>
      </c>
      <c r="BL28" s="106"/>
      <c r="BM28" s="135"/>
      <c r="BN28" s="135"/>
      <c r="BO28" s="102"/>
      <c r="BP28" s="105" t="str">
        <f>IF(OR(ISBLANK(Term3_Day_10[[#This Row],[Start]]),ISBLANK(Term3_Day_10[[#This Row],[End]])),"",(Term3_Day_10[[#This Row],[End]]-Term3_Day_10[[#This Row],[Start]])*1440)</f>
        <v/>
      </c>
      <c r="BQ28" s="105" t="str">
        <f>IF(ISBLANK(Term3_Day_10[[#This Row],[Activity]]),"",IF(_xlfn.XLOOKUP(Term3_Day_10[[#This Row],[Activity]],Types_of_Activity[Type of Activity],Types_of_Activity[Classification])=1,Term3_Day_10[[#This Row],[Elapsed]],0))</f>
        <v/>
      </c>
      <c r="BR28" s="105" t="str">
        <f>IF(ISBLANK(Term3_Day_10[[#This Row],[Activity]]),"",IF(_xlfn.XLOOKUP(Term3_Day_10[[#This Row],[Activity]],Types_of_Activity[Type of Activity],Types_of_Activity[Classification])=2,Term3_Day_10[[#This Row],[Elapsed]],0))</f>
        <v/>
      </c>
      <c r="BS28" s="106"/>
    </row>
    <row r="29" spans="2:71" x14ac:dyDescent="0.3">
      <c r="B29" s="135"/>
      <c r="C29" s="135"/>
      <c r="D29" s="102"/>
      <c r="E29" s="105" t="str">
        <f>IF(OR(ISBLANK(Term3_Day_1[[#This Row],[Start]]),ISBLANK(Term3_Day_1[[#This Row],[End]])),"",(Term3_Day_1[[#This Row],[End]]-Term3_Day_1[[#This Row],[Start]])*1440)</f>
        <v/>
      </c>
      <c r="F29" s="105" t="str">
        <f>IF(ISBLANK(Term3_Day_1[[#This Row],[Activity]]),"",IF(_xlfn.XLOOKUP(Term3_Day_1[[#This Row],[Activity]],Types_of_Activity[Type of Activity],Types_of_Activity[Classification])=1,Term3_Day_1[[#This Row],[Elapsed]],0))</f>
        <v/>
      </c>
      <c r="G29" s="105" t="str">
        <f>IF(ISBLANK(Term3_Day_1[[#This Row],[Activity]]),"",IF(_xlfn.XLOOKUP(Term3_Day_1[[#This Row],[Activity]],Types_of_Activity[Type of Activity],Types_of_Activity[Classification])=2,Term3_Day_1[[#This Row],[Elapsed]],0))</f>
        <v/>
      </c>
      <c r="I29" s="135"/>
      <c r="J29" s="135"/>
      <c r="K29" s="102"/>
      <c r="L29" s="105" t="str">
        <f>IF(OR(ISBLANK(Term3_Day_2[[#This Row],[Start]]),ISBLANK(Term3_Day_2[[#This Row],[End]])),"",(Term3_Day_2[[#This Row],[End]]-Term3_Day_2[[#This Row],[Start]])*1440)</f>
        <v/>
      </c>
      <c r="M29" s="105" t="str">
        <f>IF(ISBLANK(Term3_Day_2[[#This Row],[Activity]]),"",IF(_xlfn.XLOOKUP(Term3_Day_2[[#This Row],[Activity]],Types_of_Activity[Type of Activity],Types_of_Activity[Classification])=1,Term3_Day_2[[#This Row],[Elapsed]],0))</f>
        <v/>
      </c>
      <c r="N29" s="105" t="str">
        <f>IF(ISBLANK(Term3_Day_2[[#This Row],[Activity]]),"",IF(_xlfn.XLOOKUP(Term3_Day_2[[#This Row],[Activity]],Types_of_Activity[Type of Activity],Types_of_Activity[Classification])=2,Term3_Day_2[[#This Row],[Elapsed]],0))</f>
        <v/>
      </c>
      <c r="P29" s="135"/>
      <c r="Q29" s="135"/>
      <c r="R29" s="102"/>
      <c r="S29" s="105" t="str">
        <f>IF(OR(ISBLANK(Term3_Day_3[[#This Row],[Start]]),ISBLANK(Term3_Day_3[[#This Row],[End]])),"",(Term3_Day_3[[#This Row],[End]]-Term3_Day_3[[#This Row],[Start]])*1440)</f>
        <v/>
      </c>
      <c r="T29" s="105" t="str">
        <f>IF(ISBLANK(Term3_Day_3[[#This Row],[Activity]]),"",IF(_xlfn.XLOOKUP(Term3_Day_3[[#This Row],[Activity]],Types_of_Activity[Type of Activity],Types_of_Activity[Classification])=1,Term3_Day_3[[#This Row],[Elapsed]],0))</f>
        <v/>
      </c>
      <c r="U29" s="105" t="str">
        <f>IF(ISBLANK(Term3_Day_3[[#This Row],[Activity]]),"",IF(_xlfn.XLOOKUP(Term3_Day_3[[#This Row],[Activity]],Types_of_Activity[Type of Activity],Types_of_Activity[Classification])=2,Term3_Day_3[[#This Row],[Elapsed]],0))</f>
        <v/>
      </c>
      <c r="W29" s="135"/>
      <c r="X29" s="135"/>
      <c r="Y29" s="102"/>
      <c r="Z29" s="105" t="str">
        <f>IF(OR(ISBLANK(Term3_Day_4[[#This Row],[Start]]),ISBLANK(Term3_Day_4[[#This Row],[End]])),"",(Term3_Day_4[[#This Row],[End]]-Term3_Day_4[[#This Row],[Start]])*1440)</f>
        <v/>
      </c>
      <c r="AA29" s="105" t="str">
        <f>IF(ISBLANK(Term3_Day_4[[#This Row],[Activity]]),"",IF(_xlfn.XLOOKUP(Term3_Day_4[[#This Row],[Activity]],Types_of_Activity[Type of Activity],Types_of_Activity[Classification])=1,Term3_Day_4[[#This Row],[Elapsed]],0))</f>
        <v/>
      </c>
      <c r="AB29" s="105" t="str">
        <f>IF(ISBLANK(Term3_Day_4[[#This Row],[Activity]]),"",IF(_xlfn.XLOOKUP(Term3_Day_4[[#This Row],[Activity]],Types_of_Activity[Type of Activity],Types_of_Activity[Classification])=2,Term3_Day_4[[#This Row],[Elapsed]],0))</f>
        <v/>
      </c>
      <c r="AD29" s="135"/>
      <c r="AE29" s="135"/>
      <c r="AF29" s="102"/>
      <c r="AG29" s="105" t="str">
        <f>IF(OR(ISBLANK(Term3_Day_5[[#This Row],[Start]]),ISBLANK(Term3_Day_5[[#This Row],[End]])),"",(Term3_Day_5[[#This Row],[End]]-Term3_Day_5[[#This Row],[Start]])*1440)</f>
        <v/>
      </c>
      <c r="AH29" s="105" t="str">
        <f>IF(ISBLANK(Term3_Day_5[[#This Row],[Activity]]),"",IF(_xlfn.XLOOKUP(Term3_Day_5[[#This Row],[Activity]],Types_of_Activity[Type of Activity],Types_of_Activity[Classification])=1,Term3_Day_5[[#This Row],[Elapsed]],0))</f>
        <v/>
      </c>
      <c r="AI29" s="105" t="str">
        <f>IF(ISBLANK(Term3_Day_5[[#This Row],[Activity]]),"",IF(_xlfn.XLOOKUP(Term3_Day_5[[#This Row],[Activity]],Types_of_Activity[Type of Activity],Types_of_Activity[Classification])=2,Term3_Day_5[[#This Row],[Elapsed]],0))</f>
        <v/>
      </c>
      <c r="AJ29" s="106"/>
      <c r="AK29" s="135"/>
      <c r="AL29" s="135"/>
      <c r="AM29" s="102"/>
      <c r="AN29" s="105" t="str">
        <f>IF(OR(ISBLANK(Term3_Day_6[[#This Row],[Start]]),ISBLANK(Term3_Day_6[[#This Row],[End]])),"",(Term3_Day_6[[#This Row],[End]]-Term3_Day_6[[#This Row],[Start]])*1440)</f>
        <v/>
      </c>
      <c r="AO29" s="105" t="str">
        <f>IF(ISBLANK(Term3_Day_6[[#This Row],[Activity]]),"",IF(_xlfn.XLOOKUP(Term3_Day_6[[#This Row],[Activity]],Types_of_Activity[Type of Activity],Types_of_Activity[Classification])=1,Term3_Day_6[[#This Row],[Elapsed]],0))</f>
        <v/>
      </c>
      <c r="AP29" s="105" t="str">
        <f>IF(ISBLANK(Term3_Day_6[[#This Row],[Activity]]),"",IF(_xlfn.XLOOKUP(Term3_Day_6[[#This Row],[Activity]],Types_of_Activity[Type of Activity],Types_of_Activity[Classification])=2,Term3_Day_6[[#This Row],[Elapsed]],0))</f>
        <v/>
      </c>
      <c r="AQ29" s="106"/>
      <c r="AR29" s="135"/>
      <c r="AS29" s="135"/>
      <c r="AT29" s="102"/>
      <c r="AU29" s="105" t="str">
        <f>IF(OR(ISBLANK(Term3_Day_7[[#This Row],[Start]]),ISBLANK(Term3_Day_7[[#This Row],[End]])),"",(Term3_Day_7[[#This Row],[End]]-Term3_Day_7[[#This Row],[Start]])*1440)</f>
        <v/>
      </c>
      <c r="AV29" s="105" t="str">
        <f>IF(ISBLANK(Term3_Day_7[[#This Row],[Activity]]),"",IF(_xlfn.XLOOKUP(Term3_Day_7[[#This Row],[Activity]],Types_of_Activity[Type of Activity],Types_of_Activity[Classification])=1,Term3_Day_7[[#This Row],[Elapsed]],0))</f>
        <v/>
      </c>
      <c r="AW29" s="105" t="str">
        <f>IF(ISBLANK(Term3_Day_7[[#This Row],[Activity]]),"",IF(_xlfn.XLOOKUP(Term3_Day_7[[#This Row],[Activity]],Types_of_Activity[Type of Activity],Types_of_Activity[Classification])=2,Term3_Day_7[[#This Row],[Elapsed]],0))</f>
        <v/>
      </c>
      <c r="AX29" s="106"/>
      <c r="AY29" s="135"/>
      <c r="AZ29" s="135"/>
      <c r="BA29" s="102"/>
      <c r="BB29" s="105" t="str">
        <f>IF(OR(ISBLANK(Term3_Day_8[[#This Row],[Start]]),ISBLANK(Term3_Day_8[[#This Row],[End]])),"",(Term3_Day_8[[#This Row],[End]]-Term3_Day_8[[#This Row],[Start]])*1440)</f>
        <v/>
      </c>
      <c r="BC29" s="105" t="str">
        <f>IF(ISBLANK(Term3_Day_8[[#This Row],[Activity]]),"",IF(_xlfn.XLOOKUP(Term3_Day_8[[#This Row],[Activity]],Types_of_Activity[Type of Activity],Types_of_Activity[Classification])=1,Term3_Day_8[[#This Row],[Elapsed]],0))</f>
        <v/>
      </c>
      <c r="BD29" s="105" t="str">
        <f>IF(ISBLANK(Term3_Day_8[[#This Row],[Activity]]),"",IF(_xlfn.XLOOKUP(Term3_Day_8[[#This Row],[Activity]],Types_of_Activity[Type of Activity],Types_of_Activity[Classification])=2,Term3_Day_8[[#This Row],[Elapsed]],0))</f>
        <v/>
      </c>
      <c r="BE29" s="106"/>
      <c r="BF29" s="135"/>
      <c r="BG29" s="135"/>
      <c r="BH29" s="102"/>
      <c r="BI29" s="105" t="str">
        <f>IF(OR(ISBLANK(Term3_Day_9[[#This Row],[Start]]),ISBLANK(Term3_Day_9[[#This Row],[End]])),"",(Term3_Day_9[[#This Row],[End]]-Term3_Day_9[[#This Row],[Start]])*1440)</f>
        <v/>
      </c>
      <c r="BJ29" s="105" t="str">
        <f>IF(ISBLANK(Term3_Day_9[[#This Row],[Activity]]),"",IF(_xlfn.XLOOKUP(Term3_Day_9[[#This Row],[Activity]],Types_of_Activity[Type of Activity],Types_of_Activity[Classification])=1,Term3_Day_9[[#This Row],[Elapsed]],0))</f>
        <v/>
      </c>
      <c r="BK29" s="105" t="str">
        <f>IF(ISBLANK(Term3_Day_9[[#This Row],[Activity]]),"",IF(_xlfn.XLOOKUP(Term3_Day_9[[#This Row],[Activity]],Types_of_Activity[Type of Activity],Types_of_Activity[Classification])=2,Term3_Day_9[[#This Row],[Elapsed]],0))</f>
        <v/>
      </c>
      <c r="BL29" s="106"/>
      <c r="BM29" s="135"/>
      <c r="BN29" s="135"/>
      <c r="BO29" s="102"/>
      <c r="BP29" s="105" t="str">
        <f>IF(OR(ISBLANK(Term3_Day_10[[#This Row],[Start]]),ISBLANK(Term3_Day_10[[#This Row],[End]])),"",(Term3_Day_10[[#This Row],[End]]-Term3_Day_10[[#This Row],[Start]])*1440)</f>
        <v/>
      </c>
      <c r="BQ29" s="105" t="str">
        <f>IF(ISBLANK(Term3_Day_10[[#This Row],[Activity]]),"",IF(_xlfn.XLOOKUP(Term3_Day_10[[#This Row],[Activity]],Types_of_Activity[Type of Activity],Types_of_Activity[Classification])=1,Term3_Day_10[[#This Row],[Elapsed]],0))</f>
        <v/>
      </c>
      <c r="BR29" s="105" t="str">
        <f>IF(ISBLANK(Term3_Day_10[[#This Row],[Activity]]),"",IF(_xlfn.XLOOKUP(Term3_Day_10[[#This Row],[Activity]],Types_of_Activity[Type of Activity],Types_of_Activity[Classification])=2,Term3_Day_10[[#This Row],[Elapsed]],0))</f>
        <v/>
      </c>
      <c r="BS29" s="106"/>
    </row>
    <row r="30" spans="2:71" x14ac:dyDescent="0.3">
      <c r="B30" s="135"/>
      <c r="C30" s="135"/>
      <c r="D30" s="102"/>
      <c r="E30" s="105" t="str">
        <f>IF(OR(ISBLANK(Term3_Day_1[[#This Row],[Start]]),ISBLANK(Term3_Day_1[[#This Row],[End]])),"",(Term3_Day_1[[#This Row],[End]]-Term3_Day_1[[#This Row],[Start]])*1440)</f>
        <v/>
      </c>
      <c r="F30" s="105" t="str">
        <f>IF(ISBLANK(Term3_Day_1[[#This Row],[Activity]]),"",IF(_xlfn.XLOOKUP(Term3_Day_1[[#This Row],[Activity]],Types_of_Activity[Type of Activity],Types_of_Activity[Classification])=1,Term3_Day_1[[#This Row],[Elapsed]],0))</f>
        <v/>
      </c>
      <c r="G30" s="105" t="str">
        <f>IF(ISBLANK(Term3_Day_1[[#This Row],[Activity]]),"",IF(_xlfn.XLOOKUP(Term3_Day_1[[#This Row],[Activity]],Types_of_Activity[Type of Activity],Types_of_Activity[Classification])=2,Term3_Day_1[[#This Row],[Elapsed]],0))</f>
        <v/>
      </c>
      <c r="I30" s="135"/>
      <c r="J30" s="135"/>
      <c r="K30" s="102"/>
      <c r="L30" s="105" t="str">
        <f>IF(OR(ISBLANK(Term3_Day_2[[#This Row],[Start]]),ISBLANK(Term3_Day_2[[#This Row],[End]])),"",(Term3_Day_2[[#This Row],[End]]-Term3_Day_2[[#This Row],[Start]])*1440)</f>
        <v/>
      </c>
      <c r="M30" s="105" t="str">
        <f>IF(ISBLANK(Term3_Day_2[[#This Row],[Activity]]),"",IF(_xlfn.XLOOKUP(Term3_Day_2[[#This Row],[Activity]],Types_of_Activity[Type of Activity],Types_of_Activity[Classification])=1,Term3_Day_2[[#This Row],[Elapsed]],0))</f>
        <v/>
      </c>
      <c r="N30" s="105" t="str">
        <f>IF(ISBLANK(Term3_Day_2[[#This Row],[Activity]]),"",IF(_xlfn.XLOOKUP(Term3_Day_2[[#This Row],[Activity]],Types_of_Activity[Type of Activity],Types_of_Activity[Classification])=2,Term3_Day_2[[#This Row],[Elapsed]],0))</f>
        <v/>
      </c>
      <c r="P30" s="135"/>
      <c r="Q30" s="135"/>
      <c r="R30" s="102"/>
      <c r="S30" s="105" t="str">
        <f>IF(OR(ISBLANK(Term3_Day_3[[#This Row],[Start]]),ISBLANK(Term3_Day_3[[#This Row],[End]])),"",(Term3_Day_3[[#This Row],[End]]-Term3_Day_3[[#This Row],[Start]])*1440)</f>
        <v/>
      </c>
      <c r="T30" s="105" t="str">
        <f>IF(ISBLANK(Term3_Day_3[[#This Row],[Activity]]),"",IF(_xlfn.XLOOKUP(Term3_Day_3[[#This Row],[Activity]],Types_of_Activity[Type of Activity],Types_of_Activity[Classification])=1,Term3_Day_3[[#This Row],[Elapsed]],0))</f>
        <v/>
      </c>
      <c r="U30" s="105" t="str">
        <f>IF(ISBLANK(Term3_Day_3[[#This Row],[Activity]]),"",IF(_xlfn.XLOOKUP(Term3_Day_3[[#This Row],[Activity]],Types_of_Activity[Type of Activity],Types_of_Activity[Classification])=2,Term3_Day_3[[#This Row],[Elapsed]],0))</f>
        <v/>
      </c>
      <c r="W30" s="135"/>
      <c r="X30" s="135"/>
      <c r="Y30" s="102"/>
      <c r="Z30" s="105" t="str">
        <f>IF(OR(ISBLANK(Term3_Day_4[[#This Row],[Start]]),ISBLANK(Term3_Day_4[[#This Row],[End]])),"",(Term3_Day_4[[#This Row],[End]]-Term3_Day_4[[#This Row],[Start]])*1440)</f>
        <v/>
      </c>
      <c r="AA30" s="105" t="str">
        <f>IF(ISBLANK(Term3_Day_4[[#This Row],[Activity]]),"",IF(_xlfn.XLOOKUP(Term3_Day_4[[#This Row],[Activity]],Types_of_Activity[Type of Activity],Types_of_Activity[Classification])=1,Term3_Day_4[[#This Row],[Elapsed]],0))</f>
        <v/>
      </c>
      <c r="AB30" s="105" t="str">
        <f>IF(ISBLANK(Term3_Day_4[[#This Row],[Activity]]),"",IF(_xlfn.XLOOKUP(Term3_Day_4[[#This Row],[Activity]],Types_of_Activity[Type of Activity],Types_of_Activity[Classification])=2,Term3_Day_4[[#This Row],[Elapsed]],0))</f>
        <v/>
      </c>
      <c r="AD30" s="135"/>
      <c r="AE30" s="135"/>
      <c r="AF30" s="102"/>
      <c r="AG30" s="105" t="str">
        <f>IF(OR(ISBLANK(Term3_Day_5[[#This Row],[Start]]),ISBLANK(Term3_Day_5[[#This Row],[End]])),"",(Term3_Day_5[[#This Row],[End]]-Term3_Day_5[[#This Row],[Start]])*1440)</f>
        <v/>
      </c>
      <c r="AH30" s="105" t="str">
        <f>IF(ISBLANK(Term3_Day_5[[#This Row],[Activity]]),"",IF(_xlfn.XLOOKUP(Term3_Day_5[[#This Row],[Activity]],Types_of_Activity[Type of Activity],Types_of_Activity[Classification])=1,Term3_Day_5[[#This Row],[Elapsed]],0))</f>
        <v/>
      </c>
      <c r="AI30" s="105" t="str">
        <f>IF(ISBLANK(Term3_Day_5[[#This Row],[Activity]]),"",IF(_xlfn.XLOOKUP(Term3_Day_5[[#This Row],[Activity]],Types_of_Activity[Type of Activity],Types_of_Activity[Classification])=2,Term3_Day_5[[#This Row],[Elapsed]],0))</f>
        <v/>
      </c>
      <c r="AJ30" s="106"/>
      <c r="AK30" s="135"/>
      <c r="AL30" s="135"/>
      <c r="AM30" s="102"/>
      <c r="AN30" s="105" t="str">
        <f>IF(OR(ISBLANK(Term3_Day_6[[#This Row],[Start]]),ISBLANK(Term3_Day_6[[#This Row],[End]])),"",(Term3_Day_6[[#This Row],[End]]-Term3_Day_6[[#This Row],[Start]])*1440)</f>
        <v/>
      </c>
      <c r="AO30" s="105" t="str">
        <f>IF(ISBLANK(Term3_Day_6[[#This Row],[Activity]]),"",IF(_xlfn.XLOOKUP(Term3_Day_6[[#This Row],[Activity]],Types_of_Activity[Type of Activity],Types_of_Activity[Classification])=1,Term3_Day_6[[#This Row],[Elapsed]],0))</f>
        <v/>
      </c>
      <c r="AP30" s="105" t="str">
        <f>IF(ISBLANK(Term3_Day_6[[#This Row],[Activity]]),"",IF(_xlfn.XLOOKUP(Term3_Day_6[[#This Row],[Activity]],Types_of_Activity[Type of Activity],Types_of_Activity[Classification])=2,Term3_Day_6[[#This Row],[Elapsed]],0))</f>
        <v/>
      </c>
      <c r="AQ30" s="106"/>
      <c r="AR30" s="135"/>
      <c r="AS30" s="135"/>
      <c r="AT30" s="102"/>
      <c r="AU30" s="105" t="str">
        <f>IF(OR(ISBLANK(Term3_Day_7[[#This Row],[Start]]),ISBLANK(Term3_Day_7[[#This Row],[End]])),"",(Term3_Day_7[[#This Row],[End]]-Term3_Day_7[[#This Row],[Start]])*1440)</f>
        <v/>
      </c>
      <c r="AV30" s="105" t="str">
        <f>IF(ISBLANK(Term3_Day_7[[#This Row],[Activity]]),"",IF(_xlfn.XLOOKUP(Term3_Day_7[[#This Row],[Activity]],Types_of_Activity[Type of Activity],Types_of_Activity[Classification])=1,Term3_Day_7[[#This Row],[Elapsed]],0))</f>
        <v/>
      </c>
      <c r="AW30" s="105" t="str">
        <f>IF(ISBLANK(Term3_Day_7[[#This Row],[Activity]]),"",IF(_xlfn.XLOOKUP(Term3_Day_7[[#This Row],[Activity]],Types_of_Activity[Type of Activity],Types_of_Activity[Classification])=2,Term3_Day_7[[#This Row],[Elapsed]],0))</f>
        <v/>
      </c>
      <c r="AX30" s="106"/>
      <c r="AY30" s="135"/>
      <c r="AZ30" s="135"/>
      <c r="BA30" s="102"/>
      <c r="BB30" s="105" t="str">
        <f>IF(OR(ISBLANK(Term3_Day_8[[#This Row],[Start]]),ISBLANK(Term3_Day_8[[#This Row],[End]])),"",(Term3_Day_8[[#This Row],[End]]-Term3_Day_8[[#This Row],[Start]])*1440)</f>
        <v/>
      </c>
      <c r="BC30" s="105" t="str">
        <f>IF(ISBLANK(Term3_Day_8[[#This Row],[Activity]]),"",IF(_xlfn.XLOOKUP(Term3_Day_8[[#This Row],[Activity]],Types_of_Activity[Type of Activity],Types_of_Activity[Classification])=1,Term3_Day_8[[#This Row],[Elapsed]],0))</f>
        <v/>
      </c>
      <c r="BD30" s="105" t="str">
        <f>IF(ISBLANK(Term3_Day_8[[#This Row],[Activity]]),"",IF(_xlfn.XLOOKUP(Term3_Day_8[[#This Row],[Activity]],Types_of_Activity[Type of Activity],Types_of_Activity[Classification])=2,Term3_Day_8[[#This Row],[Elapsed]],0))</f>
        <v/>
      </c>
      <c r="BE30" s="106"/>
      <c r="BF30" s="135"/>
      <c r="BG30" s="135"/>
      <c r="BH30" s="102"/>
      <c r="BI30" s="105" t="str">
        <f>IF(OR(ISBLANK(Term3_Day_9[[#This Row],[Start]]),ISBLANK(Term3_Day_9[[#This Row],[End]])),"",(Term3_Day_9[[#This Row],[End]]-Term3_Day_9[[#This Row],[Start]])*1440)</f>
        <v/>
      </c>
      <c r="BJ30" s="105" t="str">
        <f>IF(ISBLANK(Term3_Day_9[[#This Row],[Activity]]),"",IF(_xlfn.XLOOKUP(Term3_Day_9[[#This Row],[Activity]],Types_of_Activity[Type of Activity],Types_of_Activity[Classification])=1,Term3_Day_9[[#This Row],[Elapsed]],0))</f>
        <v/>
      </c>
      <c r="BK30" s="105" t="str">
        <f>IF(ISBLANK(Term3_Day_9[[#This Row],[Activity]]),"",IF(_xlfn.XLOOKUP(Term3_Day_9[[#This Row],[Activity]],Types_of_Activity[Type of Activity],Types_of_Activity[Classification])=2,Term3_Day_9[[#This Row],[Elapsed]],0))</f>
        <v/>
      </c>
      <c r="BL30" s="106"/>
      <c r="BM30" s="135"/>
      <c r="BN30" s="135"/>
      <c r="BO30" s="102"/>
      <c r="BP30" s="105" t="str">
        <f>IF(OR(ISBLANK(Term3_Day_10[[#This Row],[Start]]),ISBLANK(Term3_Day_10[[#This Row],[End]])),"",(Term3_Day_10[[#This Row],[End]]-Term3_Day_10[[#This Row],[Start]])*1440)</f>
        <v/>
      </c>
      <c r="BQ30" s="105" t="str">
        <f>IF(ISBLANK(Term3_Day_10[[#This Row],[Activity]]),"",IF(_xlfn.XLOOKUP(Term3_Day_10[[#This Row],[Activity]],Types_of_Activity[Type of Activity],Types_of_Activity[Classification])=1,Term3_Day_10[[#This Row],[Elapsed]],0))</f>
        <v/>
      </c>
      <c r="BR30" s="105" t="str">
        <f>IF(ISBLANK(Term3_Day_10[[#This Row],[Activity]]),"",IF(_xlfn.XLOOKUP(Term3_Day_10[[#This Row],[Activity]],Types_of_Activity[Type of Activity],Types_of_Activity[Classification])=2,Term3_Day_10[[#This Row],[Elapsed]],0))</f>
        <v/>
      </c>
      <c r="BS30" s="106"/>
    </row>
    <row r="31" spans="2:71" x14ac:dyDescent="0.3">
      <c r="B31" s="135"/>
      <c r="C31" s="135"/>
      <c r="D31" s="102"/>
      <c r="E31" s="105" t="str">
        <f>IF(OR(ISBLANK(Term3_Day_1[[#This Row],[Start]]),ISBLANK(Term3_Day_1[[#This Row],[End]])),"",(Term3_Day_1[[#This Row],[End]]-Term3_Day_1[[#This Row],[Start]])*1440)</f>
        <v/>
      </c>
      <c r="F31" s="105" t="str">
        <f>IF(ISBLANK(Term3_Day_1[[#This Row],[Activity]]),"",IF(_xlfn.XLOOKUP(Term3_Day_1[[#This Row],[Activity]],Types_of_Activity[Type of Activity],Types_of_Activity[Classification])=1,Term3_Day_1[[#This Row],[Elapsed]],0))</f>
        <v/>
      </c>
      <c r="G31" s="105" t="str">
        <f>IF(ISBLANK(Term3_Day_1[[#This Row],[Activity]]),"",IF(_xlfn.XLOOKUP(Term3_Day_1[[#This Row],[Activity]],Types_of_Activity[Type of Activity],Types_of_Activity[Classification])=2,Term3_Day_1[[#This Row],[Elapsed]],0))</f>
        <v/>
      </c>
      <c r="I31" s="135"/>
      <c r="J31" s="135"/>
      <c r="K31" s="102"/>
      <c r="L31" s="105" t="str">
        <f>IF(OR(ISBLANK(Term3_Day_2[[#This Row],[Start]]),ISBLANK(Term3_Day_2[[#This Row],[End]])),"",(Term3_Day_2[[#This Row],[End]]-Term3_Day_2[[#This Row],[Start]])*1440)</f>
        <v/>
      </c>
      <c r="M31" s="105" t="str">
        <f>IF(ISBLANK(Term3_Day_2[[#This Row],[Activity]]),"",IF(_xlfn.XLOOKUP(Term3_Day_2[[#This Row],[Activity]],Types_of_Activity[Type of Activity],Types_of_Activity[Classification])=1,Term3_Day_2[[#This Row],[Elapsed]],0))</f>
        <v/>
      </c>
      <c r="N31" s="105" t="str">
        <f>IF(ISBLANK(Term3_Day_2[[#This Row],[Activity]]),"",IF(_xlfn.XLOOKUP(Term3_Day_2[[#This Row],[Activity]],Types_of_Activity[Type of Activity],Types_of_Activity[Classification])=2,Term3_Day_2[[#This Row],[Elapsed]],0))</f>
        <v/>
      </c>
      <c r="P31" s="135"/>
      <c r="Q31" s="135"/>
      <c r="R31" s="102"/>
      <c r="S31" s="105" t="str">
        <f>IF(OR(ISBLANK(Term3_Day_3[[#This Row],[Start]]),ISBLANK(Term3_Day_3[[#This Row],[End]])),"",(Term3_Day_3[[#This Row],[End]]-Term3_Day_3[[#This Row],[Start]])*1440)</f>
        <v/>
      </c>
      <c r="T31" s="105" t="str">
        <f>IF(ISBLANK(Term3_Day_3[[#This Row],[Activity]]),"",IF(_xlfn.XLOOKUP(Term3_Day_3[[#This Row],[Activity]],Types_of_Activity[Type of Activity],Types_of_Activity[Classification])=1,Term3_Day_3[[#This Row],[Elapsed]],0))</f>
        <v/>
      </c>
      <c r="U31" s="105" t="str">
        <f>IF(ISBLANK(Term3_Day_3[[#This Row],[Activity]]),"",IF(_xlfn.XLOOKUP(Term3_Day_3[[#This Row],[Activity]],Types_of_Activity[Type of Activity],Types_of_Activity[Classification])=2,Term3_Day_3[[#This Row],[Elapsed]],0))</f>
        <v/>
      </c>
      <c r="W31" s="135"/>
      <c r="X31" s="135"/>
      <c r="Y31" s="102"/>
      <c r="Z31" s="105" t="str">
        <f>IF(OR(ISBLANK(Term3_Day_4[[#This Row],[Start]]),ISBLANK(Term3_Day_4[[#This Row],[End]])),"",(Term3_Day_4[[#This Row],[End]]-Term3_Day_4[[#This Row],[Start]])*1440)</f>
        <v/>
      </c>
      <c r="AA31" s="105" t="str">
        <f>IF(ISBLANK(Term3_Day_4[[#This Row],[Activity]]),"",IF(_xlfn.XLOOKUP(Term3_Day_4[[#This Row],[Activity]],Types_of_Activity[Type of Activity],Types_of_Activity[Classification])=1,Term3_Day_4[[#This Row],[Elapsed]],0))</f>
        <v/>
      </c>
      <c r="AB31" s="105" t="str">
        <f>IF(ISBLANK(Term3_Day_4[[#This Row],[Activity]]),"",IF(_xlfn.XLOOKUP(Term3_Day_4[[#This Row],[Activity]],Types_of_Activity[Type of Activity],Types_of_Activity[Classification])=2,Term3_Day_4[[#This Row],[Elapsed]],0))</f>
        <v/>
      </c>
      <c r="AD31" s="135"/>
      <c r="AE31" s="135"/>
      <c r="AF31" s="102"/>
      <c r="AG31" s="105" t="str">
        <f>IF(OR(ISBLANK(Term3_Day_5[[#This Row],[Start]]),ISBLANK(Term3_Day_5[[#This Row],[End]])),"",(Term3_Day_5[[#This Row],[End]]-Term3_Day_5[[#This Row],[Start]])*1440)</f>
        <v/>
      </c>
      <c r="AH31" s="105" t="str">
        <f>IF(ISBLANK(Term3_Day_5[[#This Row],[Activity]]),"",IF(_xlfn.XLOOKUP(Term3_Day_5[[#This Row],[Activity]],Types_of_Activity[Type of Activity],Types_of_Activity[Classification])=1,Term3_Day_5[[#This Row],[Elapsed]],0))</f>
        <v/>
      </c>
      <c r="AI31" s="105" t="str">
        <f>IF(ISBLANK(Term3_Day_5[[#This Row],[Activity]]),"",IF(_xlfn.XLOOKUP(Term3_Day_5[[#This Row],[Activity]],Types_of_Activity[Type of Activity],Types_of_Activity[Classification])=2,Term3_Day_5[[#This Row],[Elapsed]],0))</f>
        <v/>
      </c>
      <c r="AJ31" s="106"/>
      <c r="AK31" s="135"/>
      <c r="AL31" s="135"/>
      <c r="AM31" s="102"/>
      <c r="AN31" s="105" t="str">
        <f>IF(OR(ISBLANK(Term3_Day_6[[#This Row],[Start]]),ISBLANK(Term3_Day_6[[#This Row],[End]])),"",(Term3_Day_6[[#This Row],[End]]-Term3_Day_6[[#This Row],[Start]])*1440)</f>
        <v/>
      </c>
      <c r="AO31" s="105" t="str">
        <f>IF(ISBLANK(Term3_Day_6[[#This Row],[Activity]]),"",IF(_xlfn.XLOOKUP(Term3_Day_6[[#This Row],[Activity]],Types_of_Activity[Type of Activity],Types_of_Activity[Classification])=1,Term3_Day_6[[#This Row],[Elapsed]],0))</f>
        <v/>
      </c>
      <c r="AP31" s="105" t="str">
        <f>IF(ISBLANK(Term3_Day_6[[#This Row],[Activity]]),"",IF(_xlfn.XLOOKUP(Term3_Day_6[[#This Row],[Activity]],Types_of_Activity[Type of Activity],Types_of_Activity[Classification])=2,Term3_Day_6[[#This Row],[Elapsed]],0))</f>
        <v/>
      </c>
      <c r="AQ31" s="106"/>
      <c r="AR31" s="135"/>
      <c r="AS31" s="135"/>
      <c r="AT31" s="102"/>
      <c r="AU31" s="105" t="str">
        <f>IF(OR(ISBLANK(Term3_Day_7[[#This Row],[Start]]),ISBLANK(Term3_Day_7[[#This Row],[End]])),"",(Term3_Day_7[[#This Row],[End]]-Term3_Day_7[[#This Row],[Start]])*1440)</f>
        <v/>
      </c>
      <c r="AV31" s="105" t="str">
        <f>IF(ISBLANK(Term3_Day_7[[#This Row],[Activity]]),"",IF(_xlfn.XLOOKUP(Term3_Day_7[[#This Row],[Activity]],Types_of_Activity[Type of Activity],Types_of_Activity[Classification])=1,Term3_Day_7[[#This Row],[Elapsed]],0))</f>
        <v/>
      </c>
      <c r="AW31" s="105" t="str">
        <f>IF(ISBLANK(Term3_Day_7[[#This Row],[Activity]]),"",IF(_xlfn.XLOOKUP(Term3_Day_7[[#This Row],[Activity]],Types_of_Activity[Type of Activity],Types_of_Activity[Classification])=2,Term3_Day_7[[#This Row],[Elapsed]],0))</f>
        <v/>
      </c>
      <c r="AX31" s="106"/>
      <c r="AY31" s="135"/>
      <c r="AZ31" s="135"/>
      <c r="BA31" s="102"/>
      <c r="BB31" s="105" t="str">
        <f>IF(OR(ISBLANK(Term3_Day_8[[#This Row],[Start]]),ISBLANK(Term3_Day_8[[#This Row],[End]])),"",(Term3_Day_8[[#This Row],[End]]-Term3_Day_8[[#This Row],[Start]])*1440)</f>
        <v/>
      </c>
      <c r="BC31" s="105" t="str">
        <f>IF(ISBLANK(Term3_Day_8[[#This Row],[Activity]]),"",IF(_xlfn.XLOOKUP(Term3_Day_8[[#This Row],[Activity]],Types_of_Activity[Type of Activity],Types_of_Activity[Classification])=1,Term3_Day_8[[#This Row],[Elapsed]],0))</f>
        <v/>
      </c>
      <c r="BD31" s="105" t="str">
        <f>IF(ISBLANK(Term3_Day_8[[#This Row],[Activity]]),"",IF(_xlfn.XLOOKUP(Term3_Day_8[[#This Row],[Activity]],Types_of_Activity[Type of Activity],Types_of_Activity[Classification])=2,Term3_Day_8[[#This Row],[Elapsed]],0))</f>
        <v/>
      </c>
      <c r="BE31" s="106"/>
      <c r="BF31" s="135"/>
      <c r="BG31" s="135"/>
      <c r="BH31" s="102"/>
      <c r="BI31" s="105" t="str">
        <f>IF(OR(ISBLANK(Term3_Day_9[[#This Row],[Start]]),ISBLANK(Term3_Day_9[[#This Row],[End]])),"",(Term3_Day_9[[#This Row],[End]]-Term3_Day_9[[#This Row],[Start]])*1440)</f>
        <v/>
      </c>
      <c r="BJ31" s="105" t="str">
        <f>IF(ISBLANK(Term3_Day_9[[#This Row],[Activity]]),"",IF(_xlfn.XLOOKUP(Term3_Day_9[[#This Row],[Activity]],Types_of_Activity[Type of Activity],Types_of_Activity[Classification])=1,Term3_Day_9[[#This Row],[Elapsed]],0))</f>
        <v/>
      </c>
      <c r="BK31" s="105" t="str">
        <f>IF(ISBLANK(Term3_Day_9[[#This Row],[Activity]]),"",IF(_xlfn.XLOOKUP(Term3_Day_9[[#This Row],[Activity]],Types_of_Activity[Type of Activity],Types_of_Activity[Classification])=2,Term3_Day_9[[#This Row],[Elapsed]],0))</f>
        <v/>
      </c>
      <c r="BL31" s="106"/>
      <c r="BM31" s="135"/>
      <c r="BN31" s="135"/>
      <c r="BO31" s="102"/>
      <c r="BP31" s="105" t="str">
        <f>IF(OR(ISBLANK(Term3_Day_10[[#This Row],[Start]]),ISBLANK(Term3_Day_10[[#This Row],[End]])),"",(Term3_Day_10[[#This Row],[End]]-Term3_Day_10[[#This Row],[Start]])*1440)</f>
        <v/>
      </c>
      <c r="BQ31" s="105" t="str">
        <f>IF(ISBLANK(Term3_Day_10[[#This Row],[Activity]]),"",IF(_xlfn.XLOOKUP(Term3_Day_10[[#This Row],[Activity]],Types_of_Activity[Type of Activity],Types_of_Activity[Classification])=1,Term3_Day_10[[#This Row],[Elapsed]],0))</f>
        <v/>
      </c>
      <c r="BR31" s="105" t="str">
        <f>IF(ISBLANK(Term3_Day_10[[#This Row],[Activity]]),"",IF(_xlfn.XLOOKUP(Term3_Day_10[[#This Row],[Activity]],Types_of_Activity[Type of Activity],Types_of_Activity[Classification])=2,Term3_Day_10[[#This Row],[Elapsed]],0))</f>
        <v/>
      </c>
      <c r="BS31" s="106"/>
    </row>
    <row r="32" spans="2:71" x14ac:dyDescent="0.3">
      <c r="B32" s="135"/>
      <c r="C32" s="135"/>
      <c r="D32" s="102"/>
      <c r="E32" s="105" t="str">
        <f>IF(OR(ISBLANK(Term3_Day_1[[#This Row],[Start]]),ISBLANK(Term3_Day_1[[#This Row],[End]])),"",(Term3_Day_1[[#This Row],[End]]-Term3_Day_1[[#This Row],[Start]])*1440)</f>
        <v/>
      </c>
      <c r="F32" s="105" t="str">
        <f>IF(ISBLANK(Term3_Day_1[[#This Row],[Activity]]),"",IF(_xlfn.XLOOKUP(Term3_Day_1[[#This Row],[Activity]],Types_of_Activity[Type of Activity],Types_of_Activity[Classification])=1,Term3_Day_1[[#This Row],[Elapsed]],0))</f>
        <v/>
      </c>
      <c r="G32" s="105" t="str">
        <f>IF(ISBLANK(Term3_Day_1[[#This Row],[Activity]]),"",IF(_xlfn.XLOOKUP(Term3_Day_1[[#This Row],[Activity]],Types_of_Activity[Type of Activity],Types_of_Activity[Classification])=2,Term3_Day_1[[#This Row],[Elapsed]],0))</f>
        <v/>
      </c>
      <c r="I32" s="135"/>
      <c r="J32" s="135"/>
      <c r="K32" s="102"/>
      <c r="L32" s="105" t="str">
        <f>IF(OR(ISBLANK(Term3_Day_2[[#This Row],[Start]]),ISBLANK(Term3_Day_2[[#This Row],[End]])),"",(Term3_Day_2[[#This Row],[End]]-Term3_Day_2[[#This Row],[Start]])*1440)</f>
        <v/>
      </c>
      <c r="M32" s="105" t="str">
        <f>IF(ISBLANK(Term3_Day_2[[#This Row],[Activity]]),"",IF(_xlfn.XLOOKUP(Term3_Day_2[[#This Row],[Activity]],Types_of_Activity[Type of Activity],Types_of_Activity[Classification])=1,Term3_Day_2[[#This Row],[Elapsed]],0))</f>
        <v/>
      </c>
      <c r="N32" s="105" t="str">
        <f>IF(ISBLANK(Term3_Day_2[[#This Row],[Activity]]),"",IF(_xlfn.XLOOKUP(Term3_Day_2[[#This Row],[Activity]],Types_of_Activity[Type of Activity],Types_of_Activity[Classification])=2,Term3_Day_2[[#This Row],[Elapsed]],0))</f>
        <v/>
      </c>
      <c r="P32" s="135"/>
      <c r="Q32" s="135"/>
      <c r="R32" s="102"/>
      <c r="S32" s="105" t="str">
        <f>IF(OR(ISBLANK(Term3_Day_3[[#This Row],[Start]]),ISBLANK(Term3_Day_3[[#This Row],[End]])),"",(Term3_Day_3[[#This Row],[End]]-Term3_Day_3[[#This Row],[Start]])*1440)</f>
        <v/>
      </c>
      <c r="T32" s="105" t="str">
        <f>IF(ISBLANK(Term3_Day_3[[#This Row],[Activity]]),"",IF(_xlfn.XLOOKUP(Term3_Day_3[[#This Row],[Activity]],Types_of_Activity[Type of Activity],Types_of_Activity[Classification])=1,Term3_Day_3[[#This Row],[Elapsed]],0))</f>
        <v/>
      </c>
      <c r="U32" s="105" t="str">
        <f>IF(ISBLANK(Term3_Day_3[[#This Row],[Activity]]),"",IF(_xlfn.XLOOKUP(Term3_Day_3[[#This Row],[Activity]],Types_of_Activity[Type of Activity],Types_of_Activity[Classification])=2,Term3_Day_3[[#This Row],[Elapsed]],0))</f>
        <v/>
      </c>
      <c r="W32" s="135"/>
      <c r="X32" s="135"/>
      <c r="Y32" s="102"/>
      <c r="Z32" s="105" t="str">
        <f>IF(OR(ISBLANK(Term3_Day_4[[#This Row],[Start]]),ISBLANK(Term3_Day_4[[#This Row],[End]])),"",(Term3_Day_4[[#This Row],[End]]-Term3_Day_4[[#This Row],[Start]])*1440)</f>
        <v/>
      </c>
      <c r="AA32" s="105" t="str">
        <f>IF(ISBLANK(Term3_Day_4[[#This Row],[Activity]]),"",IF(_xlfn.XLOOKUP(Term3_Day_4[[#This Row],[Activity]],Types_of_Activity[Type of Activity],Types_of_Activity[Classification])=1,Term3_Day_4[[#This Row],[Elapsed]],0))</f>
        <v/>
      </c>
      <c r="AB32" s="105" t="str">
        <f>IF(ISBLANK(Term3_Day_4[[#This Row],[Activity]]),"",IF(_xlfn.XLOOKUP(Term3_Day_4[[#This Row],[Activity]],Types_of_Activity[Type of Activity],Types_of_Activity[Classification])=2,Term3_Day_4[[#This Row],[Elapsed]],0))</f>
        <v/>
      </c>
      <c r="AD32" s="135"/>
      <c r="AE32" s="135"/>
      <c r="AF32" s="102"/>
      <c r="AG32" s="105" t="str">
        <f>IF(OR(ISBLANK(Term3_Day_5[[#This Row],[Start]]),ISBLANK(Term3_Day_5[[#This Row],[End]])),"",(Term3_Day_5[[#This Row],[End]]-Term3_Day_5[[#This Row],[Start]])*1440)</f>
        <v/>
      </c>
      <c r="AH32" s="105" t="str">
        <f>IF(ISBLANK(Term3_Day_5[[#This Row],[Activity]]),"",IF(_xlfn.XLOOKUP(Term3_Day_5[[#This Row],[Activity]],Types_of_Activity[Type of Activity],Types_of_Activity[Classification])=1,Term3_Day_5[[#This Row],[Elapsed]],0))</f>
        <v/>
      </c>
      <c r="AI32" s="105" t="str">
        <f>IF(ISBLANK(Term3_Day_5[[#This Row],[Activity]]),"",IF(_xlfn.XLOOKUP(Term3_Day_5[[#This Row],[Activity]],Types_of_Activity[Type of Activity],Types_of_Activity[Classification])=2,Term3_Day_5[[#This Row],[Elapsed]],0))</f>
        <v/>
      </c>
      <c r="AJ32" s="106"/>
      <c r="AK32" s="135"/>
      <c r="AL32" s="135"/>
      <c r="AM32" s="102"/>
      <c r="AN32" s="105" t="str">
        <f>IF(OR(ISBLANK(Term3_Day_6[[#This Row],[Start]]),ISBLANK(Term3_Day_6[[#This Row],[End]])),"",(Term3_Day_6[[#This Row],[End]]-Term3_Day_6[[#This Row],[Start]])*1440)</f>
        <v/>
      </c>
      <c r="AO32" s="105" t="str">
        <f>IF(ISBLANK(Term3_Day_6[[#This Row],[Activity]]),"",IF(_xlfn.XLOOKUP(Term3_Day_6[[#This Row],[Activity]],Types_of_Activity[Type of Activity],Types_of_Activity[Classification])=1,Term3_Day_6[[#This Row],[Elapsed]],0))</f>
        <v/>
      </c>
      <c r="AP32" s="105" t="str">
        <f>IF(ISBLANK(Term3_Day_6[[#This Row],[Activity]]),"",IF(_xlfn.XLOOKUP(Term3_Day_6[[#This Row],[Activity]],Types_of_Activity[Type of Activity],Types_of_Activity[Classification])=2,Term3_Day_6[[#This Row],[Elapsed]],0))</f>
        <v/>
      </c>
      <c r="AQ32" s="106"/>
      <c r="AR32" s="135"/>
      <c r="AS32" s="135"/>
      <c r="AT32" s="102"/>
      <c r="AU32" s="105" t="str">
        <f>IF(OR(ISBLANK(Term3_Day_7[[#This Row],[Start]]),ISBLANK(Term3_Day_7[[#This Row],[End]])),"",(Term3_Day_7[[#This Row],[End]]-Term3_Day_7[[#This Row],[Start]])*1440)</f>
        <v/>
      </c>
      <c r="AV32" s="105" t="str">
        <f>IF(ISBLANK(Term3_Day_7[[#This Row],[Activity]]),"",IF(_xlfn.XLOOKUP(Term3_Day_7[[#This Row],[Activity]],Types_of_Activity[Type of Activity],Types_of_Activity[Classification])=1,Term3_Day_7[[#This Row],[Elapsed]],0))</f>
        <v/>
      </c>
      <c r="AW32" s="105" t="str">
        <f>IF(ISBLANK(Term3_Day_7[[#This Row],[Activity]]),"",IF(_xlfn.XLOOKUP(Term3_Day_7[[#This Row],[Activity]],Types_of_Activity[Type of Activity],Types_of_Activity[Classification])=2,Term3_Day_7[[#This Row],[Elapsed]],0))</f>
        <v/>
      </c>
      <c r="AX32" s="106"/>
      <c r="AY32" s="135"/>
      <c r="AZ32" s="135"/>
      <c r="BA32" s="102"/>
      <c r="BB32" s="105" t="str">
        <f>IF(OR(ISBLANK(Term3_Day_8[[#This Row],[Start]]),ISBLANK(Term3_Day_8[[#This Row],[End]])),"",(Term3_Day_8[[#This Row],[End]]-Term3_Day_8[[#This Row],[Start]])*1440)</f>
        <v/>
      </c>
      <c r="BC32" s="105" t="str">
        <f>IF(ISBLANK(Term3_Day_8[[#This Row],[Activity]]),"",IF(_xlfn.XLOOKUP(Term3_Day_8[[#This Row],[Activity]],Types_of_Activity[Type of Activity],Types_of_Activity[Classification])=1,Term3_Day_8[[#This Row],[Elapsed]],0))</f>
        <v/>
      </c>
      <c r="BD32" s="105" t="str">
        <f>IF(ISBLANK(Term3_Day_8[[#This Row],[Activity]]),"",IF(_xlfn.XLOOKUP(Term3_Day_8[[#This Row],[Activity]],Types_of_Activity[Type of Activity],Types_of_Activity[Classification])=2,Term3_Day_8[[#This Row],[Elapsed]],0))</f>
        <v/>
      </c>
      <c r="BE32" s="106"/>
      <c r="BF32" s="135"/>
      <c r="BG32" s="135"/>
      <c r="BH32" s="102"/>
      <c r="BI32" s="105" t="str">
        <f>IF(OR(ISBLANK(Term3_Day_9[[#This Row],[Start]]),ISBLANK(Term3_Day_9[[#This Row],[End]])),"",(Term3_Day_9[[#This Row],[End]]-Term3_Day_9[[#This Row],[Start]])*1440)</f>
        <v/>
      </c>
      <c r="BJ32" s="105" t="str">
        <f>IF(ISBLANK(Term3_Day_9[[#This Row],[Activity]]),"",IF(_xlfn.XLOOKUP(Term3_Day_9[[#This Row],[Activity]],Types_of_Activity[Type of Activity],Types_of_Activity[Classification])=1,Term3_Day_9[[#This Row],[Elapsed]],0))</f>
        <v/>
      </c>
      <c r="BK32" s="105" t="str">
        <f>IF(ISBLANK(Term3_Day_9[[#This Row],[Activity]]),"",IF(_xlfn.XLOOKUP(Term3_Day_9[[#This Row],[Activity]],Types_of_Activity[Type of Activity],Types_of_Activity[Classification])=2,Term3_Day_9[[#This Row],[Elapsed]],0))</f>
        <v/>
      </c>
      <c r="BL32" s="106"/>
      <c r="BM32" s="135"/>
      <c r="BN32" s="135"/>
      <c r="BO32" s="102"/>
      <c r="BP32" s="105" t="str">
        <f>IF(OR(ISBLANK(Term3_Day_10[[#This Row],[Start]]),ISBLANK(Term3_Day_10[[#This Row],[End]])),"",(Term3_Day_10[[#This Row],[End]]-Term3_Day_10[[#This Row],[Start]])*1440)</f>
        <v/>
      </c>
      <c r="BQ32" s="105" t="str">
        <f>IF(ISBLANK(Term3_Day_10[[#This Row],[Activity]]),"",IF(_xlfn.XLOOKUP(Term3_Day_10[[#This Row],[Activity]],Types_of_Activity[Type of Activity],Types_of_Activity[Classification])=1,Term3_Day_10[[#This Row],[Elapsed]],0))</f>
        <v/>
      </c>
      <c r="BR32" s="105" t="str">
        <f>IF(ISBLANK(Term3_Day_10[[#This Row],[Activity]]),"",IF(_xlfn.XLOOKUP(Term3_Day_10[[#This Row],[Activity]],Types_of_Activity[Type of Activity],Types_of_Activity[Classification])=2,Term3_Day_10[[#This Row],[Elapsed]],0))</f>
        <v/>
      </c>
      <c r="BS32" s="106"/>
    </row>
    <row r="33" spans="2:71" x14ac:dyDescent="0.3">
      <c r="B33" s="135"/>
      <c r="C33" s="135"/>
      <c r="D33" s="102"/>
      <c r="E33" s="105" t="str">
        <f>IF(OR(ISBLANK(Term3_Day_1[[#This Row],[Start]]),ISBLANK(Term3_Day_1[[#This Row],[End]])),"",(Term3_Day_1[[#This Row],[End]]-Term3_Day_1[[#This Row],[Start]])*1440)</f>
        <v/>
      </c>
      <c r="F33" s="105" t="str">
        <f>IF(ISBLANK(Term3_Day_1[[#This Row],[Activity]]),"",IF(_xlfn.XLOOKUP(Term3_Day_1[[#This Row],[Activity]],Types_of_Activity[Type of Activity],Types_of_Activity[Classification])=1,Term3_Day_1[[#This Row],[Elapsed]],0))</f>
        <v/>
      </c>
      <c r="G33" s="105" t="str">
        <f>IF(ISBLANK(Term3_Day_1[[#This Row],[Activity]]),"",IF(_xlfn.XLOOKUP(Term3_Day_1[[#This Row],[Activity]],Types_of_Activity[Type of Activity],Types_of_Activity[Classification])=2,Term3_Day_1[[#This Row],[Elapsed]],0))</f>
        <v/>
      </c>
      <c r="I33" s="135"/>
      <c r="J33" s="135"/>
      <c r="K33" s="102"/>
      <c r="L33" s="105" t="str">
        <f>IF(OR(ISBLANK(Term3_Day_2[[#This Row],[Start]]),ISBLANK(Term3_Day_2[[#This Row],[End]])),"",(Term3_Day_2[[#This Row],[End]]-Term3_Day_2[[#This Row],[Start]])*1440)</f>
        <v/>
      </c>
      <c r="M33" s="105" t="str">
        <f>IF(ISBLANK(Term3_Day_2[[#This Row],[Activity]]),"",IF(_xlfn.XLOOKUP(Term3_Day_2[[#This Row],[Activity]],Types_of_Activity[Type of Activity],Types_of_Activity[Classification])=1,Term3_Day_2[[#This Row],[Elapsed]],0))</f>
        <v/>
      </c>
      <c r="N33" s="105" t="str">
        <f>IF(ISBLANK(Term3_Day_2[[#This Row],[Activity]]),"",IF(_xlfn.XLOOKUP(Term3_Day_2[[#This Row],[Activity]],Types_of_Activity[Type of Activity],Types_of_Activity[Classification])=2,Term3_Day_2[[#This Row],[Elapsed]],0))</f>
        <v/>
      </c>
      <c r="P33" s="135"/>
      <c r="Q33" s="135"/>
      <c r="R33" s="102"/>
      <c r="S33" s="105" t="str">
        <f>IF(OR(ISBLANK(Term3_Day_3[[#This Row],[Start]]),ISBLANK(Term3_Day_3[[#This Row],[End]])),"",(Term3_Day_3[[#This Row],[End]]-Term3_Day_3[[#This Row],[Start]])*1440)</f>
        <v/>
      </c>
      <c r="T33" s="105" t="str">
        <f>IF(ISBLANK(Term3_Day_3[[#This Row],[Activity]]),"",IF(_xlfn.XLOOKUP(Term3_Day_3[[#This Row],[Activity]],Types_of_Activity[Type of Activity],Types_of_Activity[Classification])=1,Term3_Day_3[[#This Row],[Elapsed]],0))</f>
        <v/>
      </c>
      <c r="U33" s="105" t="str">
        <f>IF(ISBLANK(Term3_Day_3[[#This Row],[Activity]]),"",IF(_xlfn.XLOOKUP(Term3_Day_3[[#This Row],[Activity]],Types_of_Activity[Type of Activity],Types_of_Activity[Classification])=2,Term3_Day_3[[#This Row],[Elapsed]],0))</f>
        <v/>
      </c>
      <c r="W33" s="135"/>
      <c r="X33" s="135"/>
      <c r="Y33" s="102"/>
      <c r="Z33" s="105" t="str">
        <f>IF(OR(ISBLANK(Term3_Day_4[[#This Row],[Start]]),ISBLANK(Term3_Day_4[[#This Row],[End]])),"",(Term3_Day_4[[#This Row],[End]]-Term3_Day_4[[#This Row],[Start]])*1440)</f>
        <v/>
      </c>
      <c r="AA33" s="105" t="str">
        <f>IF(ISBLANK(Term3_Day_4[[#This Row],[Activity]]),"",IF(_xlfn.XLOOKUP(Term3_Day_4[[#This Row],[Activity]],Types_of_Activity[Type of Activity],Types_of_Activity[Classification])=1,Term3_Day_4[[#This Row],[Elapsed]],0))</f>
        <v/>
      </c>
      <c r="AB33" s="105" t="str">
        <f>IF(ISBLANK(Term3_Day_4[[#This Row],[Activity]]),"",IF(_xlfn.XLOOKUP(Term3_Day_4[[#This Row],[Activity]],Types_of_Activity[Type of Activity],Types_of_Activity[Classification])=2,Term3_Day_4[[#This Row],[Elapsed]],0))</f>
        <v/>
      </c>
      <c r="AD33" s="135"/>
      <c r="AE33" s="135"/>
      <c r="AF33" s="102"/>
      <c r="AG33" s="105" t="str">
        <f>IF(OR(ISBLANK(Term3_Day_5[[#This Row],[Start]]),ISBLANK(Term3_Day_5[[#This Row],[End]])),"",(Term3_Day_5[[#This Row],[End]]-Term3_Day_5[[#This Row],[Start]])*1440)</f>
        <v/>
      </c>
      <c r="AH33" s="105" t="str">
        <f>IF(ISBLANK(Term3_Day_5[[#This Row],[Activity]]),"",IF(_xlfn.XLOOKUP(Term3_Day_5[[#This Row],[Activity]],Types_of_Activity[Type of Activity],Types_of_Activity[Classification])=1,Term3_Day_5[[#This Row],[Elapsed]],0))</f>
        <v/>
      </c>
      <c r="AI33" s="105" t="str">
        <f>IF(ISBLANK(Term3_Day_5[[#This Row],[Activity]]),"",IF(_xlfn.XLOOKUP(Term3_Day_5[[#This Row],[Activity]],Types_of_Activity[Type of Activity],Types_of_Activity[Classification])=2,Term3_Day_5[[#This Row],[Elapsed]],0))</f>
        <v/>
      </c>
      <c r="AJ33" s="106"/>
      <c r="AK33" s="135"/>
      <c r="AL33" s="135"/>
      <c r="AM33" s="102"/>
      <c r="AN33" s="105" t="str">
        <f>IF(OR(ISBLANK(Term3_Day_6[[#This Row],[Start]]),ISBLANK(Term3_Day_6[[#This Row],[End]])),"",(Term3_Day_6[[#This Row],[End]]-Term3_Day_6[[#This Row],[Start]])*1440)</f>
        <v/>
      </c>
      <c r="AO33" s="105" t="str">
        <f>IF(ISBLANK(Term3_Day_6[[#This Row],[Activity]]),"",IF(_xlfn.XLOOKUP(Term3_Day_6[[#This Row],[Activity]],Types_of_Activity[Type of Activity],Types_of_Activity[Classification])=1,Term3_Day_6[[#This Row],[Elapsed]],0))</f>
        <v/>
      </c>
      <c r="AP33" s="105" t="str">
        <f>IF(ISBLANK(Term3_Day_6[[#This Row],[Activity]]),"",IF(_xlfn.XLOOKUP(Term3_Day_6[[#This Row],[Activity]],Types_of_Activity[Type of Activity],Types_of_Activity[Classification])=2,Term3_Day_6[[#This Row],[Elapsed]],0))</f>
        <v/>
      </c>
      <c r="AQ33" s="106"/>
      <c r="AR33" s="135"/>
      <c r="AS33" s="135"/>
      <c r="AT33" s="102"/>
      <c r="AU33" s="105" t="str">
        <f>IF(OR(ISBLANK(Term3_Day_7[[#This Row],[Start]]),ISBLANK(Term3_Day_7[[#This Row],[End]])),"",(Term3_Day_7[[#This Row],[End]]-Term3_Day_7[[#This Row],[Start]])*1440)</f>
        <v/>
      </c>
      <c r="AV33" s="105" t="str">
        <f>IF(ISBLANK(Term3_Day_7[[#This Row],[Activity]]),"",IF(_xlfn.XLOOKUP(Term3_Day_7[[#This Row],[Activity]],Types_of_Activity[Type of Activity],Types_of_Activity[Classification])=1,Term3_Day_7[[#This Row],[Elapsed]],0))</f>
        <v/>
      </c>
      <c r="AW33" s="105" t="str">
        <f>IF(ISBLANK(Term3_Day_7[[#This Row],[Activity]]),"",IF(_xlfn.XLOOKUP(Term3_Day_7[[#This Row],[Activity]],Types_of_Activity[Type of Activity],Types_of_Activity[Classification])=2,Term3_Day_7[[#This Row],[Elapsed]],0))</f>
        <v/>
      </c>
      <c r="AX33" s="106"/>
      <c r="AY33" s="135"/>
      <c r="AZ33" s="135"/>
      <c r="BA33" s="102"/>
      <c r="BB33" s="105" t="str">
        <f>IF(OR(ISBLANK(Term3_Day_8[[#This Row],[Start]]),ISBLANK(Term3_Day_8[[#This Row],[End]])),"",(Term3_Day_8[[#This Row],[End]]-Term3_Day_8[[#This Row],[Start]])*1440)</f>
        <v/>
      </c>
      <c r="BC33" s="105" t="str">
        <f>IF(ISBLANK(Term3_Day_8[[#This Row],[Activity]]),"",IF(_xlfn.XLOOKUP(Term3_Day_8[[#This Row],[Activity]],Types_of_Activity[Type of Activity],Types_of_Activity[Classification])=1,Term3_Day_8[[#This Row],[Elapsed]],0))</f>
        <v/>
      </c>
      <c r="BD33" s="105" t="str">
        <f>IF(ISBLANK(Term3_Day_8[[#This Row],[Activity]]),"",IF(_xlfn.XLOOKUP(Term3_Day_8[[#This Row],[Activity]],Types_of_Activity[Type of Activity],Types_of_Activity[Classification])=2,Term3_Day_8[[#This Row],[Elapsed]],0))</f>
        <v/>
      </c>
      <c r="BE33" s="106"/>
      <c r="BF33" s="135"/>
      <c r="BG33" s="135"/>
      <c r="BH33" s="102"/>
      <c r="BI33" s="105" t="str">
        <f>IF(OR(ISBLANK(Term3_Day_9[[#This Row],[Start]]),ISBLANK(Term3_Day_9[[#This Row],[End]])),"",(Term3_Day_9[[#This Row],[End]]-Term3_Day_9[[#This Row],[Start]])*1440)</f>
        <v/>
      </c>
      <c r="BJ33" s="105" t="str">
        <f>IF(ISBLANK(Term3_Day_9[[#This Row],[Activity]]),"",IF(_xlfn.XLOOKUP(Term3_Day_9[[#This Row],[Activity]],Types_of_Activity[Type of Activity],Types_of_Activity[Classification])=1,Term3_Day_9[[#This Row],[Elapsed]],0))</f>
        <v/>
      </c>
      <c r="BK33" s="105" t="str">
        <f>IF(ISBLANK(Term3_Day_9[[#This Row],[Activity]]),"",IF(_xlfn.XLOOKUP(Term3_Day_9[[#This Row],[Activity]],Types_of_Activity[Type of Activity],Types_of_Activity[Classification])=2,Term3_Day_9[[#This Row],[Elapsed]],0))</f>
        <v/>
      </c>
      <c r="BL33" s="106"/>
      <c r="BM33" s="135"/>
      <c r="BN33" s="135"/>
      <c r="BO33" s="102"/>
      <c r="BP33" s="105" t="str">
        <f>IF(OR(ISBLANK(Term3_Day_10[[#This Row],[Start]]),ISBLANK(Term3_Day_10[[#This Row],[End]])),"",(Term3_Day_10[[#This Row],[End]]-Term3_Day_10[[#This Row],[Start]])*1440)</f>
        <v/>
      </c>
      <c r="BQ33" s="105" t="str">
        <f>IF(ISBLANK(Term3_Day_10[[#This Row],[Activity]]),"",IF(_xlfn.XLOOKUP(Term3_Day_10[[#This Row],[Activity]],Types_of_Activity[Type of Activity],Types_of_Activity[Classification])=1,Term3_Day_10[[#This Row],[Elapsed]],0))</f>
        <v/>
      </c>
      <c r="BR33" s="105" t="str">
        <f>IF(ISBLANK(Term3_Day_10[[#This Row],[Activity]]),"",IF(_xlfn.XLOOKUP(Term3_Day_10[[#This Row],[Activity]],Types_of_Activity[Type of Activity],Types_of_Activity[Classification])=2,Term3_Day_10[[#This Row],[Elapsed]],0))</f>
        <v/>
      </c>
      <c r="BS33" s="106"/>
    </row>
    <row r="34" spans="2:71" x14ac:dyDescent="0.3">
      <c r="B34" s="135"/>
      <c r="C34" s="135"/>
      <c r="D34" s="102"/>
      <c r="E34" s="105" t="str">
        <f>IF(OR(ISBLANK(Term3_Day_1[[#This Row],[Start]]),ISBLANK(Term3_Day_1[[#This Row],[End]])),"",(Term3_Day_1[[#This Row],[End]]-Term3_Day_1[[#This Row],[Start]])*1440)</f>
        <v/>
      </c>
      <c r="F34" s="105" t="str">
        <f>IF(ISBLANK(Term3_Day_1[[#This Row],[Activity]]),"",IF(_xlfn.XLOOKUP(Term3_Day_1[[#This Row],[Activity]],Types_of_Activity[Type of Activity],Types_of_Activity[Classification])=1,Term3_Day_1[[#This Row],[Elapsed]],0))</f>
        <v/>
      </c>
      <c r="G34" s="105" t="str">
        <f>IF(ISBLANK(Term3_Day_1[[#This Row],[Activity]]),"",IF(_xlfn.XLOOKUP(Term3_Day_1[[#This Row],[Activity]],Types_of_Activity[Type of Activity],Types_of_Activity[Classification])=2,Term3_Day_1[[#This Row],[Elapsed]],0))</f>
        <v/>
      </c>
      <c r="I34" s="135"/>
      <c r="J34" s="135"/>
      <c r="K34" s="102"/>
      <c r="L34" s="105" t="str">
        <f>IF(OR(ISBLANK(Term3_Day_2[[#This Row],[Start]]),ISBLANK(Term3_Day_2[[#This Row],[End]])),"",(Term3_Day_2[[#This Row],[End]]-Term3_Day_2[[#This Row],[Start]])*1440)</f>
        <v/>
      </c>
      <c r="M34" s="105" t="str">
        <f>IF(ISBLANK(Term3_Day_2[[#This Row],[Activity]]),"",IF(_xlfn.XLOOKUP(Term3_Day_2[[#This Row],[Activity]],Types_of_Activity[Type of Activity],Types_of_Activity[Classification])=1,Term3_Day_2[[#This Row],[Elapsed]],0))</f>
        <v/>
      </c>
      <c r="N34" s="105" t="str">
        <f>IF(ISBLANK(Term3_Day_2[[#This Row],[Activity]]),"",IF(_xlfn.XLOOKUP(Term3_Day_2[[#This Row],[Activity]],Types_of_Activity[Type of Activity],Types_of_Activity[Classification])=2,Term3_Day_2[[#This Row],[Elapsed]],0))</f>
        <v/>
      </c>
      <c r="P34" s="135"/>
      <c r="Q34" s="135"/>
      <c r="R34" s="102"/>
      <c r="S34" s="105" t="str">
        <f>IF(OR(ISBLANK(Term3_Day_3[[#This Row],[Start]]),ISBLANK(Term3_Day_3[[#This Row],[End]])),"",(Term3_Day_3[[#This Row],[End]]-Term3_Day_3[[#This Row],[Start]])*1440)</f>
        <v/>
      </c>
      <c r="T34" s="105" t="str">
        <f>IF(ISBLANK(Term3_Day_3[[#This Row],[Activity]]),"",IF(_xlfn.XLOOKUP(Term3_Day_3[[#This Row],[Activity]],Types_of_Activity[Type of Activity],Types_of_Activity[Classification])=1,Term3_Day_3[[#This Row],[Elapsed]],0))</f>
        <v/>
      </c>
      <c r="U34" s="105" t="str">
        <f>IF(ISBLANK(Term3_Day_3[[#This Row],[Activity]]),"",IF(_xlfn.XLOOKUP(Term3_Day_3[[#This Row],[Activity]],Types_of_Activity[Type of Activity],Types_of_Activity[Classification])=2,Term3_Day_3[[#This Row],[Elapsed]],0))</f>
        <v/>
      </c>
      <c r="W34" s="135"/>
      <c r="X34" s="135"/>
      <c r="Y34" s="102"/>
      <c r="Z34" s="105" t="str">
        <f>IF(OR(ISBLANK(Term3_Day_4[[#This Row],[Start]]),ISBLANK(Term3_Day_4[[#This Row],[End]])),"",(Term3_Day_4[[#This Row],[End]]-Term3_Day_4[[#This Row],[Start]])*1440)</f>
        <v/>
      </c>
      <c r="AA34" s="105" t="str">
        <f>IF(ISBLANK(Term3_Day_4[[#This Row],[Activity]]),"",IF(_xlfn.XLOOKUP(Term3_Day_4[[#This Row],[Activity]],Types_of_Activity[Type of Activity],Types_of_Activity[Classification])=1,Term3_Day_4[[#This Row],[Elapsed]],0))</f>
        <v/>
      </c>
      <c r="AB34" s="105" t="str">
        <f>IF(ISBLANK(Term3_Day_4[[#This Row],[Activity]]),"",IF(_xlfn.XLOOKUP(Term3_Day_4[[#This Row],[Activity]],Types_of_Activity[Type of Activity],Types_of_Activity[Classification])=2,Term3_Day_4[[#This Row],[Elapsed]],0))</f>
        <v/>
      </c>
      <c r="AD34" s="135"/>
      <c r="AE34" s="135"/>
      <c r="AF34" s="102"/>
      <c r="AG34" s="105" t="str">
        <f>IF(OR(ISBLANK(Term3_Day_5[[#This Row],[Start]]),ISBLANK(Term3_Day_5[[#This Row],[End]])),"",(Term3_Day_5[[#This Row],[End]]-Term3_Day_5[[#This Row],[Start]])*1440)</f>
        <v/>
      </c>
      <c r="AH34" s="105" t="str">
        <f>IF(ISBLANK(Term3_Day_5[[#This Row],[Activity]]),"",IF(_xlfn.XLOOKUP(Term3_Day_5[[#This Row],[Activity]],Types_of_Activity[Type of Activity],Types_of_Activity[Classification])=1,Term3_Day_5[[#This Row],[Elapsed]],0))</f>
        <v/>
      </c>
      <c r="AI34" s="105" t="str">
        <f>IF(ISBLANK(Term3_Day_5[[#This Row],[Activity]]),"",IF(_xlfn.XLOOKUP(Term3_Day_5[[#This Row],[Activity]],Types_of_Activity[Type of Activity],Types_of_Activity[Classification])=2,Term3_Day_5[[#This Row],[Elapsed]],0))</f>
        <v/>
      </c>
      <c r="AJ34" s="106"/>
      <c r="AK34" s="135"/>
      <c r="AL34" s="135"/>
      <c r="AM34" s="102"/>
      <c r="AN34" s="105" t="str">
        <f>IF(OR(ISBLANK(Term3_Day_6[[#This Row],[Start]]),ISBLANK(Term3_Day_6[[#This Row],[End]])),"",(Term3_Day_6[[#This Row],[End]]-Term3_Day_6[[#This Row],[Start]])*1440)</f>
        <v/>
      </c>
      <c r="AO34" s="105" t="str">
        <f>IF(ISBLANK(Term3_Day_6[[#This Row],[Activity]]),"",IF(_xlfn.XLOOKUP(Term3_Day_6[[#This Row],[Activity]],Types_of_Activity[Type of Activity],Types_of_Activity[Classification])=1,Term3_Day_6[[#This Row],[Elapsed]],0))</f>
        <v/>
      </c>
      <c r="AP34" s="105" t="str">
        <f>IF(ISBLANK(Term3_Day_6[[#This Row],[Activity]]),"",IF(_xlfn.XLOOKUP(Term3_Day_6[[#This Row],[Activity]],Types_of_Activity[Type of Activity],Types_of_Activity[Classification])=2,Term3_Day_6[[#This Row],[Elapsed]],0))</f>
        <v/>
      </c>
      <c r="AQ34" s="106"/>
      <c r="AR34" s="135"/>
      <c r="AS34" s="135"/>
      <c r="AT34" s="102"/>
      <c r="AU34" s="105" t="str">
        <f>IF(OR(ISBLANK(Term3_Day_7[[#This Row],[Start]]),ISBLANK(Term3_Day_7[[#This Row],[End]])),"",(Term3_Day_7[[#This Row],[End]]-Term3_Day_7[[#This Row],[Start]])*1440)</f>
        <v/>
      </c>
      <c r="AV34" s="105" t="str">
        <f>IF(ISBLANK(Term3_Day_7[[#This Row],[Activity]]),"",IF(_xlfn.XLOOKUP(Term3_Day_7[[#This Row],[Activity]],Types_of_Activity[Type of Activity],Types_of_Activity[Classification])=1,Term3_Day_7[[#This Row],[Elapsed]],0))</f>
        <v/>
      </c>
      <c r="AW34" s="105" t="str">
        <f>IF(ISBLANK(Term3_Day_7[[#This Row],[Activity]]),"",IF(_xlfn.XLOOKUP(Term3_Day_7[[#This Row],[Activity]],Types_of_Activity[Type of Activity],Types_of_Activity[Classification])=2,Term3_Day_7[[#This Row],[Elapsed]],0))</f>
        <v/>
      </c>
      <c r="AX34" s="106"/>
      <c r="AY34" s="135"/>
      <c r="AZ34" s="135"/>
      <c r="BA34" s="102"/>
      <c r="BB34" s="105" t="str">
        <f>IF(OR(ISBLANK(Term3_Day_8[[#This Row],[Start]]),ISBLANK(Term3_Day_8[[#This Row],[End]])),"",(Term3_Day_8[[#This Row],[End]]-Term3_Day_8[[#This Row],[Start]])*1440)</f>
        <v/>
      </c>
      <c r="BC34" s="105" t="str">
        <f>IF(ISBLANK(Term3_Day_8[[#This Row],[Activity]]),"",IF(_xlfn.XLOOKUP(Term3_Day_8[[#This Row],[Activity]],Types_of_Activity[Type of Activity],Types_of_Activity[Classification])=1,Term3_Day_8[[#This Row],[Elapsed]],0))</f>
        <v/>
      </c>
      <c r="BD34" s="105" t="str">
        <f>IF(ISBLANK(Term3_Day_8[[#This Row],[Activity]]),"",IF(_xlfn.XLOOKUP(Term3_Day_8[[#This Row],[Activity]],Types_of_Activity[Type of Activity],Types_of_Activity[Classification])=2,Term3_Day_8[[#This Row],[Elapsed]],0))</f>
        <v/>
      </c>
      <c r="BE34" s="106"/>
      <c r="BF34" s="135"/>
      <c r="BG34" s="135"/>
      <c r="BH34" s="102"/>
      <c r="BI34" s="105" t="str">
        <f>IF(OR(ISBLANK(Term3_Day_9[[#This Row],[Start]]),ISBLANK(Term3_Day_9[[#This Row],[End]])),"",(Term3_Day_9[[#This Row],[End]]-Term3_Day_9[[#This Row],[Start]])*1440)</f>
        <v/>
      </c>
      <c r="BJ34" s="105" t="str">
        <f>IF(ISBLANK(Term3_Day_9[[#This Row],[Activity]]),"",IF(_xlfn.XLOOKUP(Term3_Day_9[[#This Row],[Activity]],Types_of_Activity[Type of Activity],Types_of_Activity[Classification])=1,Term3_Day_9[[#This Row],[Elapsed]],0))</f>
        <v/>
      </c>
      <c r="BK34" s="105" t="str">
        <f>IF(ISBLANK(Term3_Day_9[[#This Row],[Activity]]),"",IF(_xlfn.XLOOKUP(Term3_Day_9[[#This Row],[Activity]],Types_of_Activity[Type of Activity],Types_of_Activity[Classification])=2,Term3_Day_9[[#This Row],[Elapsed]],0))</f>
        <v/>
      </c>
      <c r="BL34" s="106"/>
      <c r="BM34" s="135"/>
      <c r="BN34" s="135"/>
      <c r="BO34" s="102"/>
      <c r="BP34" s="105" t="str">
        <f>IF(OR(ISBLANK(Term3_Day_10[[#This Row],[Start]]),ISBLANK(Term3_Day_10[[#This Row],[End]])),"",(Term3_Day_10[[#This Row],[End]]-Term3_Day_10[[#This Row],[Start]])*1440)</f>
        <v/>
      </c>
      <c r="BQ34" s="105" t="str">
        <f>IF(ISBLANK(Term3_Day_10[[#This Row],[Activity]]),"",IF(_xlfn.XLOOKUP(Term3_Day_10[[#This Row],[Activity]],Types_of_Activity[Type of Activity],Types_of_Activity[Classification])=1,Term3_Day_10[[#This Row],[Elapsed]],0))</f>
        <v/>
      </c>
      <c r="BR34" s="105" t="str">
        <f>IF(ISBLANK(Term3_Day_10[[#This Row],[Activity]]),"",IF(_xlfn.XLOOKUP(Term3_Day_10[[#This Row],[Activity]],Types_of_Activity[Type of Activity],Types_of_Activity[Classification])=2,Term3_Day_10[[#This Row],[Elapsed]],0))</f>
        <v/>
      </c>
      <c r="BS34" s="106"/>
    </row>
    <row r="35" spans="2:71" x14ac:dyDescent="0.3">
      <c r="B35" s="135"/>
      <c r="C35" s="135"/>
      <c r="D35" s="102"/>
      <c r="E35" s="105" t="str">
        <f>IF(OR(ISBLANK(Term3_Day_1[[#This Row],[Start]]),ISBLANK(Term3_Day_1[[#This Row],[End]])),"",(Term3_Day_1[[#This Row],[End]]-Term3_Day_1[[#This Row],[Start]])*1440)</f>
        <v/>
      </c>
      <c r="F35" s="105" t="str">
        <f>IF(ISBLANK(Term3_Day_1[[#This Row],[Activity]]),"",IF(_xlfn.XLOOKUP(Term3_Day_1[[#This Row],[Activity]],Types_of_Activity[Type of Activity],Types_of_Activity[Classification])=1,Term3_Day_1[[#This Row],[Elapsed]],0))</f>
        <v/>
      </c>
      <c r="G35" s="105" t="str">
        <f>IF(ISBLANK(Term3_Day_1[[#This Row],[Activity]]),"",IF(_xlfn.XLOOKUP(Term3_Day_1[[#This Row],[Activity]],Types_of_Activity[Type of Activity],Types_of_Activity[Classification])=2,Term3_Day_1[[#This Row],[Elapsed]],0))</f>
        <v/>
      </c>
      <c r="I35" s="135"/>
      <c r="J35" s="135"/>
      <c r="K35" s="102"/>
      <c r="L35" s="105" t="str">
        <f>IF(OR(ISBLANK(Term3_Day_2[[#This Row],[Start]]),ISBLANK(Term3_Day_2[[#This Row],[End]])),"",(Term3_Day_2[[#This Row],[End]]-Term3_Day_2[[#This Row],[Start]])*1440)</f>
        <v/>
      </c>
      <c r="M35" s="105" t="str">
        <f>IF(ISBLANK(Term3_Day_2[[#This Row],[Activity]]),"",IF(_xlfn.XLOOKUP(Term3_Day_2[[#This Row],[Activity]],Types_of_Activity[Type of Activity],Types_of_Activity[Classification])=1,Term3_Day_2[[#This Row],[Elapsed]],0))</f>
        <v/>
      </c>
      <c r="N35" s="105" t="str">
        <f>IF(ISBLANK(Term3_Day_2[[#This Row],[Activity]]),"",IF(_xlfn.XLOOKUP(Term3_Day_2[[#This Row],[Activity]],Types_of_Activity[Type of Activity],Types_of_Activity[Classification])=2,Term3_Day_2[[#This Row],[Elapsed]],0))</f>
        <v/>
      </c>
      <c r="P35" s="135"/>
      <c r="Q35" s="135"/>
      <c r="R35" s="102"/>
      <c r="S35" s="105" t="str">
        <f>IF(OR(ISBLANK(Term3_Day_3[[#This Row],[Start]]),ISBLANK(Term3_Day_3[[#This Row],[End]])),"",(Term3_Day_3[[#This Row],[End]]-Term3_Day_3[[#This Row],[Start]])*1440)</f>
        <v/>
      </c>
      <c r="T35" s="105" t="str">
        <f>IF(ISBLANK(Term3_Day_3[[#This Row],[Activity]]),"",IF(_xlfn.XLOOKUP(Term3_Day_3[[#This Row],[Activity]],Types_of_Activity[Type of Activity],Types_of_Activity[Classification])=1,Term3_Day_3[[#This Row],[Elapsed]],0))</f>
        <v/>
      </c>
      <c r="U35" s="105" t="str">
        <f>IF(ISBLANK(Term3_Day_3[[#This Row],[Activity]]),"",IF(_xlfn.XLOOKUP(Term3_Day_3[[#This Row],[Activity]],Types_of_Activity[Type of Activity],Types_of_Activity[Classification])=2,Term3_Day_3[[#This Row],[Elapsed]],0))</f>
        <v/>
      </c>
      <c r="W35" s="135"/>
      <c r="X35" s="135"/>
      <c r="Y35" s="102"/>
      <c r="Z35" s="105" t="str">
        <f>IF(OR(ISBLANK(Term3_Day_4[[#This Row],[Start]]),ISBLANK(Term3_Day_4[[#This Row],[End]])),"",(Term3_Day_4[[#This Row],[End]]-Term3_Day_4[[#This Row],[Start]])*1440)</f>
        <v/>
      </c>
      <c r="AA35" s="105" t="str">
        <f>IF(ISBLANK(Term3_Day_4[[#This Row],[Activity]]),"",IF(_xlfn.XLOOKUP(Term3_Day_4[[#This Row],[Activity]],Types_of_Activity[Type of Activity],Types_of_Activity[Classification])=1,Term3_Day_4[[#This Row],[Elapsed]],0))</f>
        <v/>
      </c>
      <c r="AB35" s="105" t="str">
        <f>IF(ISBLANK(Term3_Day_4[[#This Row],[Activity]]),"",IF(_xlfn.XLOOKUP(Term3_Day_4[[#This Row],[Activity]],Types_of_Activity[Type of Activity],Types_of_Activity[Classification])=2,Term3_Day_4[[#This Row],[Elapsed]],0))</f>
        <v/>
      </c>
      <c r="AD35" s="135"/>
      <c r="AE35" s="135"/>
      <c r="AF35" s="102"/>
      <c r="AG35" s="105" t="str">
        <f>IF(OR(ISBLANK(Term3_Day_5[[#This Row],[Start]]),ISBLANK(Term3_Day_5[[#This Row],[End]])),"",(Term3_Day_5[[#This Row],[End]]-Term3_Day_5[[#This Row],[Start]])*1440)</f>
        <v/>
      </c>
      <c r="AH35" s="105" t="str">
        <f>IF(ISBLANK(Term3_Day_5[[#This Row],[Activity]]),"",IF(_xlfn.XLOOKUP(Term3_Day_5[[#This Row],[Activity]],Types_of_Activity[Type of Activity],Types_of_Activity[Classification])=1,Term3_Day_5[[#This Row],[Elapsed]],0))</f>
        <v/>
      </c>
      <c r="AI35" s="105" t="str">
        <f>IF(ISBLANK(Term3_Day_5[[#This Row],[Activity]]),"",IF(_xlfn.XLOOKUP(Term3_Day_5[[#This Row],[Activity]],Types_of_Activity[Type of Activity],Types_of_Activity[Classification])=2,Term3_Day_5[[#This Row],[Elapsed]],0))</f>
        <v/>
      </c>
      <c r="AJ35" s="106"/>
      <c r="AK35" s="135"/>
      <c r="AL35" s="135"/>
      <c r="AM35" s="102"/>
      <c r="AN35" s="105" t="str">
        <f>IF(OR(ISBLANK(Term3_Day_6[[#This Row],[Start]]),ISBLANK(Term3_Day_6[[#This Row],[End]])),"",(Term3_Day_6[[#This Row],[End]]-Term3_Day_6[[#This Row],[Start]])*1440)</f>
        <v/>
      </c>
      <c r="AO35" s="105" t="str">
        <f>IF(ISBLANK(Term3_Day_6[[#This Row],[Activity]]),"",IF(_xlfn.XLOOKUP(Term3_Day_6[[#This Row],[Activity]],Types_of_Activity[Type of Activity],Types_of_Activity[Classification])=1,Term3_Day_6[[#This Row],[Elapsed]],0))</f>
        <v/>
      </c>
      <c r="AP35" s="105" t="str">
        <f>IF(ISBLANK(Term3_Day_6[[#This Row],[Activity]]),"",IF(_xlfn.XLOOKUP(Term3_Day_6[[#This Row],[Activity]],Types_of_Activity[Type of Activity],Types_of_Activity[Classification])=2,Term3_Day_6[[#This Row],[Elapsed]],0))</f>
        <v/>
      </c>
      <c r="AQ35" s="106"/>
      <c r="AR35" s="135"/>
      <c r="AS35" s="135"/>
      <c r="AT35" s="102"/>
      <c r="AU35" s="105" t="str">
        <f>IF(OR(ISBLANK(Term3_Day_7[[#This Row],[Start]]),ISBLANK(Term3_Day_7[[#This Row],[End]])),"",(Term3_Day_7[[#This Row],[End]]-Term3_Day_7[[#This Row],[Start]])*1440)</f>
        <v/>
      </c>
      <c r="AV35" s="105" t="str">
        <f>IF(ISBLANK(Term3_Day_7[[#This Row],[Activity]]),"",IF(_xlfn.XLOOKUP(Term3_Day_7[[#This Row],[Activity]],Types_of_Activity[Type of Activity],Types_of_Activity[Classification])=1,Term3_Day_7[[#This Row],[Elapsed]],0))</f>
        <v/>
      </c>
      <c r="AW35" s="105" t="str">
        <f>IF(ISBLANK(Term3_Day_7[[#This Row],[Activity]]),"",IF(_xlfn.XLOOKUP(Term3_Day_7[[#This Row],[Activity]],Types_of_Activity[Type of Activity],Types_of_Activity[Classification])=2,Term3_Day_7[[#This Row],[Elapsed]],0))</f>
        <v/>
      </c>
      <c r="AX35" s="106"/>
      <c r="AY35" s="135"/>
      <c r="AZ35" s="135"/>
      <c r="BA35" s="102"/>
      <c r="BB35" s="105" t="str">
        <f>IF(OR(ISBLANK(Term3_Day_8[[#This Row],[Start]]),ISBLANK(Term3_Day_8[[#This Row],[End]])),"",(Term3_Day_8[[#This Row],[End]]-Term3_Day_8[[#This Row],[Start]])*1440)</f>
        <v/>
      </c>
      <c r="BC35" s="105" t="str">
        <f>IF(ISBLANK(Term3_Day_8[[#This Row],[Activity]]),"",IF(_xlfn.XLOOKUP(Term3_Day_8[[#This Row],[Activity]],Types_of_Activity[Type of Activity],Types_of_Activity[Classification])=1,Term3_Day_8[[#This Row],[Elapsed]],0))</f>
        <v/>
      </c>
      <c r="BD35" s="105" t="str">
        <f>IF(ISBLANK(Term3_Day_8[[#This Row],[Activity]]),"",IF(_xlfn.XLOOKUP(Term3_Day_8[[#This Row],[Activity]],Types_of_Activity[Type of Activity],Types_of_Activity[Classification])=2,Term3_Day_8[[#This Row],[Elapsed]],0))</f>
        <v/>
      </c>
      <c r="BE35" s="106"/>
      <c r="BF35" s="135"/>
      <c r="BG35" s="135"/>
      <c r="BH35" s="102"/>
      <c r="BI35" s="105" t="str">
        <f>IF(OR(ISBLANK(Term3_Day_9[[#This Row],[Start]]),ISBLANK(Term3_Day_9[[#This Row],[End]])),"",(Term3_Day_9[[#This Row],[End]]-Term3_Day_9[[#This Row],[Start]])*1440)</f>
        <v/>
      </c>
      <c r="BJ35" s="105" t="str">
        <f>IF(ISBLANK(Term3_Day_9[[#This Row],[Activity]]),"",IF(_xlfn.XLOOKUP(Term3_Day_9[[#This Row],[Activity]],Types_of_Activity[Type of Activity],Types_of_Activity[Classification])=1,Term3_Day_9[[#This Row],[Elapsed]],0))</f>
        <v/>
      </c>
      <c r="BK35" s="105" t="str">
        <f>IF(ISBLANK(Term3_Day_9[[#This Row],[Activity]]),"",IF(_xlfn.XLOOKUP(Term3_Day_9[[#This Row],[Activity]],Types_of_Activity[Type of Activity],Types_of_Activity[Classification])=2,Term3_Day_9[[#This Row],[Elapsed]],0))</f>
        <v/>
      </c>
      <c r="BL35" s="106"/>
      <c r="BM35" s="135"/>
      <c r="BN35" s="135"/>
      <c r="BO35" s="102"/>
      <c r="BP35" s="105" t="str">
        <f>IF(OR(ISBLANK(Term3_Day_10[[#This Row],[Start]]),ISBLANK(Term3_Day_10[[#This Row],[End]])),"",(Term3_Day_10[[#This Row],[End]]-Term3_Day_10[[#This Row],[Start]])*1440)</f>
        <v/>
      </c>
      <c r="BQ35" s="105" t="str">
        <f>IF(ISBLANK(Term3_Day_10[[#This Row],[Activity]]),"",IF(_xlfn.XLOOKUP(Term3_Day_10[[#This Row],[Activity]],Types_of_Activity[Type of Activity],Types_of_Activity[Classification])=1,Term3_Day_10[[#This Row],[Elapsed]],0))</f>
        <v/>
      </c>
      <c r="BR35" s="105" t="str">
        <f>IF(ISBLANK(Term3_Day_10[[#This Row],[Activity]]),"",IF(_xlfn.XLOOKUP(Term3_Day_10[[#This Row],[Activity]],Types_of_Activity[Type of Activity],Types_of_Activity[Classification])=2,Term3_Day_10[[#This Row],[Elapsed]],0))</f>
        <v/>
      </c>
      <c r="BS35" s="106"/>
    </row>
    <row r="36" spans="2:71" x14ac:dyDescent="0.3">
      <c r="B36" s="135"/>
      <c r="C36" s="135"/>
      <c r="D36" s="102"/>
      <c r="E36" s="105" t="str">
        <f>IF(OR(ISBLANK(Term3_Day_1[[#This Row],[Start]]),ISBLANK(Term3_Day_1[[#This Row],[End]])),"",(Term3_Day_1[[#This Row],[End]]-Term3_Day_1[[#This Row],[Start]])*1440)</f>
        <v/>
      </c>
      <c r="F36" s="105" t="str">
        <f>IF(ISBLANK(Term3_Day_1[[#This Row],[Activity]]),"",IF(_xlfn.XLOOKUP(Term3_Day_1[[#This Row],[Activity]],Types_of_Activity[Type of Activity],Types_of_Activity[Classification])=1,Term3_Day_1[[#This Row],[Elapsed]],0))</f>
        <v/>
      </c>
      <c r="G36" s="105" t="str">
        <f>IF(ISBLANK(Term3_Day_1[[#This Row],[Activity]]),"",IF(_xlfn.XLOOKUP(Term3_Day_1[[#This Row],[Activity]],Types_of_Activity[Type of Activity],Types_of_Activity[Classification])=2,Term3_Day_1[[#This Row],[Elapsed]],0))</f>
        <v/>
      </c>
      <c r="I36" s="135"/>
      <c r="J36" s="135"/>
      <c r="K36" s="102"/>
      <c r="L36" s="105" t="str">
        <f>IF(OR(ISBLANK(Term3_Day_2[[#This Row],[Start]]),ISBLANK(Term3_Day_2[[#This Row],[End]])),"",(Term3_Day_2[[#This Row],[End]]-Term3_Day_2[[#This Row],[Start]])*1440)</f>
        <v/>
      </c>
      <c r="M36" s="105" t="str">
        <f>IF(ISBLANK(Term3_Day_2[[#This Row],[Activity]]),"",IF(_xlfn.XLOOKUP(Term3_Day_2[[#This Row],[Activity]],Types_of_Activity[Type of Activity],Types_of_Activity[Classification])=1,Term3_Day_2[[#This Row],[Elapsed]],0))</f>
        <v/>
      </c>
      <c r="N36" s="105" t="str">
        <f>IF(ISBLANK(Term3_Day_2[[#This Row],[Activity]]),"",IF(_xlfn.XLOOKUP(Term3_Day_2[[#This Row],[Activity]],Types_of_Activity[Type of Activity],Types_of_Activity[Classification])=2,Term3_Day_2[[#This Row],[Elapsed]],0))</f>
        <v/>
      </c>
      <c r="P36" s="135"/>
      <c r="Q36" s="135"/>
      <c r="R36" s="102"/>
      <c r="S36" s="105" t="str">
        <f>IF(OR(ISBLANK(Term3_Day_3[[#This Row],[Start]]),ISBLANK(Term3_Day_3[[#This Row],[End]])),"",(Term3_Day_3[[#This Row],[End]]-Term3_Day_3[[#This Row],[Start]])*1440)</f>
        <v/>
      </c>
      <c r="T36" s="105" t="str">
        <f>IF(ISBLANK(Term3_Day_3[[#This Row],[Activity]]),"",IF(_xlfn.XLOOKUP(Term3_Day_3[[#This Row],[Activity]],Types_of_Activity[Type of Activity],Types_of_Activity[Classification])=1,Term3_Day_3[[#This Row],[Elapsed]],0))</f>
        <v/>
      </c>
      <c r="U36" s="105" t="str">
        <f>IF(ISBLANK(Term3_Day_3[[#This Row],[Activity]]),"",IF(_xlfn.XLOOKUP(Term3_Day_3[[#This Row],[Activity]],Types_of_Activity[Type of Activity],Types_of_Activity[Classification])=2,Term3_Day_3[[#This Row],[Elapsed]],0))</f>
        <v/>
      </c>
      <c r="W36" s="135"/>
      <c r="X36" s="135"/>
      <c r="Y36" s="102"/>
      <c r="Z36" s="105" t="str">
        <f>IF(OR(ISBLANK(Term3_Day_4[[#This Row],[Start]]),ISBLANK(Term3_Day_4[[#This Row],[End]])),"",(Term3_Day_4[[#This Row],[End]]-Term3_Day_4[[#This Row],[Start]])*1440)</f>
        <v/>
      </c>
      <c r="AA36" s="105" t="str">
        <f>IF(ISBLANK(Term3_Day_4[[#This Row],[Activity]]),"",IF(_xlfn.XLOOKUP(Term3_Day_4[[#This Row],[Activity]],Types_of_Activity[Type of Activity],Types_of_Activity[Classification])=1,Term3_Day_4[[#This Row],[Elapsed]],0))</f>
        <v/>
      </c>
      <c r="AB36" s="105" t="str">
        <f>IF(ISBLANK(Term3_Day_4[[#This Row],[Activity]]),"",IF(_xlfn.XLOOKUP(Term3_Day_4[[#This Row],[Activity]],Types_of_Activity[Type of Activity],Types_of_Activity[Classification])=2,Term3_Day_4[[#This Row],[Elapsed]],0))</f>
        <v/>
      </c>
      <c r="AD36" s="135"/>
      <c r="AE36" s="135"/>
      <c r="AF36" s="102"/>
      <c r="AG36" s="105" t="str">
        <f>IF(OR(ISBLANK(Term3_Day_5[[#This Row],[Start]]),ISBLANK(Term3_Day_5[[#This Row],[End]])),"",(Term3_Day_5[[#This Row],[End]]-Term3_Day_5[[#This Row],[Start]])*1440)</f>
        <v/>
      </c>
      <c r="AH36" s="105" t="str">
        <f>IF(ISBLANK(Term3_Day_5[[#This Row],[Activity]]),"",IF(_xlfn.XLOOKUP(Term3_Day_5[[#This Row],[Activity]],Types_of_Activity[Type of Activity],Types_of_Activity[Classification])=1,Term3_Day_5[[#This Row],[Elapsed]],0))</f>
        <v/>
      </c>
      <c r="AI36" s="105" t="str">
        <f>IF(ISBLANK(Term3_Day_5[[#This Row],[Activity]]),"",IF(_xlfn.XLOOKUP(Term3_Day_5[[#This Row],[Activity]],Types_of_Activity[Type of Activity],Types_of_Activity[Classification])=2,Term3_Day_5[[#This Row],[Elapsed]],0))</f>
        <v/>
      </c>
      <c r="AJ36" s="106"/>
      <c r="AK36" s="135"/>
      <c r="AL36" s="135"/>
      <c r="AM36" s="102"/>
      <c r="AN36" s="105" t="str">
        <f>IF(OR(ISBLANK(Term3_Day_6[[#This Row],[Start]]),ISBLANK(Term3_Day_6[[#This Row],[End]])),"",(Term3_Day_6[[#This Row],[End]]-Term3_Day_6[[#This Row],[Start]])*1440)</f>
        <v/>
      </c>
      <c r="AO36" s="105" t="str">
        <f>IF(ISBLANK(Term3_Day_6[[#This Row],[Activity]]),"",IF(_xlfn.XLOOKUP(Term3_Day_6[[#This Row],[Activity]],Types_of_Activity[Type of Activity],Types_of_Activity[Classification])=1,Term3_Day_6[[#This Row],[Elapsed]],0))</f>
        <v/>
      </c>
      <c r="AP36" s="105" t="str">
        <f>IF(ISBLANK(Term3_Day_6[[#This Row],[Activity]]),"",IF(_xlfn.XLOOKUP(Term3_Day_6[[#This Row],[Activity]],Types_of_Activity[Type of Activity],Types_of_Activity[Classification])=2,Term3_Day_6[[#This Row],[Elapsed]],0))</f>
        <v/>
      </c>
      <c r="AQ36" s="106"/>
      <c r="AR36" s="135"/>
      <c r="AS36" s="135"/>
      <c r="AT36" s="102"/>
      <c r="AU36" s="105" t="str">
        <f>IF(OR(ISBLANK(Term3_Day_7[[#This Row],[Start]]),ISBLANK(Term3_Day_7[[#This Row],[End]])),"",(Term3_Day_7[[#This Row],[End]]-Term3_Day_7[[#This Row],[Start]])*1440)</f>
        <v/>
      </c>
      <c r="AV36" s="105" t="str">
        <f>IF(ISBLANK(Term3_Day_7[[#This Row],[Activity]]),"",IF(_xlfn.XLOOKUP(Term3_Day_7[[#This Row],[Activity]],Types_of_Activity[Type of Activity],Types_of_Activity[Classification])=1,Term3_Day_7[[#This Row],[Elapsed]],0))</f>
        <v/>
      </c>
      <c r="AW36" s="105" t="str">
        <f>IF(ISBLANK(Term3_Day_7[[#This Row],[Activity]]),"",IF(_xlfn.XLOOKUP(Term3_Day_7[[#This Row],[Activity]],Types_of_Activity[Type of Activity],Types_of_Activity[Classification])=2,Term3_Day_7[[#This Row],[Elapsed]],0))</f>
        <v/>
      </c>
      <c r="AX36" s="106"/>
      <c r="AY36" s="135"/>
      <c r="AZ36" s="135"/>
      <c r="BA36" s="102"/>
      <c r="BB36" s="105" t="str">
        <f>IF(OR(ISBLANK(Term3_Day_8[[#This Row],[Start]]),ISBLANK(Term3_Day_8[[#This Row],[End]])),"",(Term3_Day_8[[#This Row],[End]]-Term3_Day_8[[#This Row],[Start]])*1440)</f>
        <v/>
      </c>
      <c r="BC36" s="105" t="str">
        <f>IF(ISBLANK(Term3_Day_8[[#This Row],[Activity]]),"",IF(_xlfn.XLOOKUP(Term3_Day_8[[#This Row],[Activity]],Types_of_Activity[Type of Activity],Types_of_Activity[Classification])=1,Term3_Day_8[[#This Row],[Elapsed]],0))</f>
        <v/>
      </c>
      <c r="BD36" s="105" t="str">
        <f>IF(ISBLANK(Term3_Day_8[[#This Row],[Activity]]),"",IF(_xlfn.XLOOKUP(Term3_Day_8[[#This Row],[Activity]],Types_of_Activity[Type of Activity],Types_of_Activity[Classification])=2,Term3_Day_8[[#This Row],[Elapsed]],0))</f>
        <v/>
      </c>
      <c r="BE36" s="106"/>
      <c r="BF36" s="135"/>
      <c r="BG36" s="135"/>
      <c r="BH36" s="102"/>
      <c r="BI36" s="105" t="str">
        <f>IF(OR(ISBLANK(Term3_Day_9[[#This Row],[Start]]),ISBLANK(Term3_Day_9[[#This Row],[End]])),"",(Term3_Day_9[[#This Row],[End]]-Term3_Day_9[[#This Row],[Start]])*1440)</f>
        <v/>
      </c>
      <c r="BJ36" s="105" t="str">
        <f>IF(ISBLANK(Term3_Day_9[[#This Row],[Activity]]),"",IF(_xlfn.XLOOKUP(Term3_Day_9[[#This Row],[Activity]],Types_of_Activity[Type of Activity],Types_of_Activity[Classification])=1,Term3_Day_9[[#This Row],[Elapsed]],0))</f>
        <v/>
      </c>
      <c r="BK36" s="105" t="str">
        <f>IF(ISBLANK(Term3_Day_9[[#This Row],[Activity]]),"",IF(_xlfn.XLOOKUP(Term3_Day_9[[#This Row],[Activity]],Types_of_Activity[Type of Activity],Types_of_Activity[Classification])=2,Term3_Day_9[[#This Row],[Elapsed]],0))</f>
        <v/>
      </c>
      <c r="BL36" s="106"/>
      <c r="BM36" s="135"/>
      <c r="BN36" s="135"/>
      <c r="BO36" s="102"/>
      <c r="BP36" s="105" t="str">
        <f>IF(OR(ISBLANK(Term3_Day_10[[#This Row],[Start]]),ISBLANK(Term3_Day_10[[#This Row],[End]])),"",(Term3_Day_10[[#This Row],[End]]-Term3_Day_10[[#This Row],[Start]])*1440)</f>
        <v/>
      </c>
      <c r="BQ36" s="105" t="str">
        <f>IF(ISBLANK(Term3_Day_10[[#This Row],[Activity]]),"",IF(_xlfn.XLOOKUP(Term3_Day_10[[#This Row],[Activity]],Types_of_Activity[Type of Activity],Types_of_Activity[Classification])=1,Term3_Day_10[[#This Row],[Elapsed]],0))</f>
        <v/>
      </c>
      <c r="BR36" s="105" t="str">
        <f>IF(ISBLANK(Term3_Day_10[[#This Row],[Activity]]),"",IF(_xlfn.XLOOKUP(Term3_Day_10[[#This Row],[Activity]],Types_of_Activity[Type of Activity],Types_of_Activity[Classification])=2,Term3_Day_10[[#This Row],[Elapsed]],0))</f>
        <v/>
      </c>
      <c r="BS36" s="106"/>
    </row>
    <row r="37" spans="2:71" x14ac:dyDescent="0.3">
      <c r="B37" s="135"/>
      <c r="C37" s="135"/>
      <c r="D37" s="102"/>
      <c r="E37" s="105" t="str">
        <f>IF(OR(ISBLANK(Term3_Day_1[[#This Row],[Start]]),ISBLANK(Term3_Day_1[[#This Row],[End]])),"",(Term3_Day_1[[#This Row],[End]]-Term3_Day_1[[#This Row],[Start]])*1440)</f>
        <v/>
      </c>
      <c r="F37" s="105" t="str">
        <f>IF(ISBLANK(Term3_Day_1[[#This Row],[Activity]]),"",IF(_xlfn.XLOOKUP(Term3_Day_1[[#This Row],[Activity]],Types_of_Activity[Type of Activity],Types_of_Activity[Classification])=1,Term3_Day_1[[#This Row],[Elapsed]],0))</f>
        <v/>
      </c>
      <c r="G37" s="105" t="str">
        <f>IF(ISBLANK(Term3_Day_1[[#This Row],[Activity]]),"",IF(_xlfn.XLOOKUP(Term3_Day_1[[#This Row],[Activity]],Types_of_Activity[Type of Activity],Types_of_Activity[Classification])=2,Term3_Day_1[[#This Row],[Elapsed]],0))</f>
        <v/>
      </c>
      <c r="I37" s="135"/>
      <c r="J37" s="135"/>
      <c r="K37" s="102"/>
      <c r="L37" s="105" t="str">
        <f>IF(OR(ISBLANK(Term3_Day_2[[#This Row],[Start]]),ISBLANK(Term3_Day_2[[#This Row],[End]])),"",(Term3_Day_2[[#This Row],[End]]-Term3_Day_2[[#This Row],[Start]])*1440)</f>
        <v/>
      </c>
      <c r="M37" s="105" t="str">
        <f>IF(ISBLANK(Term3_Day_2[[#This Row],[Activity]]),"",IF(_xlfn.XLOOKUP(Term3_Day_2[[#This Row],[Activity]],Types_of_Activity[Type of Activity],Types_of_Activity[Classification])=1,Term3_Day_2[[#This Row],[Elapsed]],0))</f>
        <v/>
      </c>
      <c r="N37" s="105" t="str">
        <f>IF(ISBLANK(Term3_Day_2[[#This Row],[Activity]]),"",IF(_xlfn.XLOOKUP(Term3_Day_2[[#This Row],[Activity]],Types_of_Activity[Type of Activity],Types_of_Activity[Classification])=2,Term3_Day_2[[#This Row],[Elapsed]],0))</f>
        <v/>
      </c>
      <c r="P37" s="135"/>
      <c r="Q37" s="135"/>
      <c r="R37" s="102"/>
      <c r="S37" s="105" t="str">
        <f>IF(OR(ISBLANK(Term3_Day_3[[#This Row],[Start]]),ISBLANK(Term3_Day_3[[#This Row],[End]])),"",(Term3_Day_3[[#This Row],[End]]-Term3_Day_3[[#This Row],[Start]])*1440)</f>
        <v/>
      </c>
      <c r="T37" s="105" t="str">
        <f>IF(ISBLANK(Term3_Day_3[[#This Row],[Activity]]),"",IF(_xlfn.XLOOKUP(Term3_Day_3[[#This Row],[Activity]],Types_of_Activity[Type of Activity],Types_of_Activity[Classification])=1,Term3_Day_3[[#This Row],[Elapsed]],0))</f>
        <v/>
      </c>
      <c r="U37" s="105" t="str">
        <f>IF(ISBLANK(Term3_Day_3[[#This Row],[Activity]]),"",IF(_xlfn.XLOOKUP(Term3_Day_3[[#This Row],[Activity]],Types_of_Activity[Type of Activity],Types_of_Activity[Classification])=2,Term3_Day_3[[#This Row],[Elapsed]],0))</f>
        <v/>
      </c>
      <c r="W37" s="135"/>
      <c r="X37" s="135"/>
      <c r="Y37" s="102"/>
      <c r="Z37" s="105" t="str">
        <f>IF(OR(ISBLANK(Term3_Day_4[[#This Row],[Start]]),ISBLANK(Term3_Day_4[[#This Row],[End]])),"",(Term3_Day_4[[#This Row],[End]]-Term3_Day_4[[#This Row],[Start]])*1440)</f>
        <v/>
      </c>
      <c r="AA37" s="105" t="str">
        <f>IF(ISBLANK(Term3_Day_4[[#This Row],[Activity]]),"",IF(_xlfn.XLOOKUP(Term3_Day_4[[#This Row],[Activity]],Types_of_Activity[Type of Activity],Types_of_Activity[Classification])=1,Term3_Day_4[[#This Row],[Elapsed]],0))</f>
        <v/>
      </c>
      <c r="AB37" s="105" t="str">
        <f>IF(ISBLANK(Term3_Day_4[[#This Row],[Activity]]),"",IF(_xlfn.XLOOKUP(Term3_Day_4[[#This Row],[Activity]],Types_of_Activity[Type of Activity],Types_of_Activity[Classification])=2,Term3_Day_4[[#This Row],[Elapsed]],0))</f>
        <v/>
      </c>
      <c r="AD37" s="135"/>
      <c r="AE37" s="135"/>
      <c r="AF37" s="102"/>
      <c r="AG37" s="105" t="str">
        <f>IF(OR(ISBLANK(Term3_Day_5[[#This Row],[Start]]),ISBLANK(Term3_Day_5[[#This Row],[End]])),"",(Term3_Day_5[[#This Row],[End]]-Term3_Day_5[[#This Row],[Start]])*1440)</f>
        <v/>
      </c>
      <c r="AH37" s="105" t="str">
        <f>IF(ISBLANK(Term3_Day_5[[#This Row],[Activity]]),"",IF(_xlfn.XLOOKUP(Term3_Day_5[[#This Row],[Activity]],Types_of_Activity[Type of Activity],Types_of_Activity[Classification])=1,Term3_Day_5[[#This Row],[Elapsed]],0))</f>
        <v/>
      </c>
      <c r="AI37" s="105" t="str">
        <f>IF(ISBLANK(Term3_Day_5[[#This Row],[Activity]]),"",IF(_xlfn.XLOOKUP(Term3_Day_5[[#This Row],[Activity]],Types_of_Activity[Type of Activity],Types_of_Activity[Classification])=2,Term3_Day_5[[#This Row],[Elapsed]],0))</f>
        <v/>
      </c>
      <c r="AJ37" s="106"/>
      <c r="AK37" s="135"/>
      <c r="AL37" s="135"/>
      <c r="AM37" s="102"/>
      <c r="AN37" s="105" t="str">
        <f>IF(OR(ISBLANK(Term3_Day_6[[#This Row],[Start]]),ISBLANK(Term3_Day_6[[#This Row],[End]])),"",(Term3_Day_6[[#This Row],[End]]-Term3_Day_6[[#This Row],[Start]])*1440)</f>
        <v/>
      </c>
      <c r="AO37" s="105" t="str">
        <f>IF(ISBLANK(Term3_Day_6[[#This Row],[Activity]]),"",IF(_xlfn.XLOOKUP(Term3_Day_6[[#This Row],[Activity]],Types_of_Activity[Type of Activity],Types_of_Activity[Classification])=1,Term3_Day_6[[#This Row],[Elapsed]],0))</f>
        <v/>
      </c>
      <c r="AP37" s="105" t="str">
        <f>IF(ISBLANK(Term3_Day_6[[#This Row],[Activity]]),"",IF(_xlfn.XLOOKUP(Term3_Day_6[[#This Row],[Activity]],Types_of_Activity[Type of Activity],Types_of_Activity[Classification])=2,Term3_Day_6[[#This Row],[Elapsed]],0))</f>
        <v/>
      </c>
      <c r="AQ37" s="106"/>
      <c r="AR37" s="135"/>
      <c r="AS37" s="135"/>
      <c r="AT37" s="102"/>
      <c r="AU37" s="105" t="str">
        <f>IF(OR(ISBLANK(Term3_Day_7[[#This Row],[Start]]),ISBLANK(Term3_Day_7[[#This Row],[End]])),"",(Term3_Day_7[[#This Row],[End]]-Term3_Day_7[[#This Row],[Start]])*1440)</f>
        <v/>
      </c>
      <c r="AV37" s="105" t="str">
        <f>IF(ISBLANK(Term3_Day_7[[#This Row],[Activity]]),"",IF(_xlfn.XLOOKUP(Term3_Day_7[[#This Row],[Activity]],Types_of_Activity[Type of Activity],Types_of_Activity[Classification])=1,Term3_Day_7[[#This Row],[Elapsed]],0))</f>
        <v/>
      </c>
      <c r="AW37" s="105" t="str">
        <f>IF(ISBLANK(Term3_Day_7[[#This Row],[Activity]]),"",IF(_xlfn.XLOOKUP(Term3_Day_7[[#This Row],[Activity]],Types_of_Activity[Type of Activity],Types_of_Activity[Classification])=2,Term3_Day_7[[#This Row],[Elapsed]],0))</f>
        <v/>
      </c>
      <c r="AX37" s="106"/>
      <c r="AY37" s="135"/>
      <c r="AZ37" s="135"/>
      <c r="BA37" s="102"/>
      <c r="BB37" s="105" t="str">
        <f>IF(OR(ISBLANK(Term3_Day_8[[#This Row],[Start]]),ISBLANK(Term3_Day_8[[#This Row],[End]])),"",(Term3_Day_8[[#This Row],[End]]-Term3_Day_8[[#This Row],[Start]])*1440)</f>
        <v/>
      </c>
      <c r="BC37" s="105" t="str">
        <f>IF(ISBLANK(Term3_Day_8[[#This Row],[Activity]]),"",IF(_xlfn.XLOOKUP(Term3_Day_8[[#This Row],[Activity]],Types_of_Activity[Type of Activity],Types_of_Activity[Classification])=1,Term3_Day_8[[#This Row],[Elapsed]],0))</f>
        <v/>
      </c>
      <c r="BD37" s="105" t="str">
        <f>IF(ISBLANK(Term3_Day_8[[#This Row],[Activity]]),"",IF(_xlfn.XLOOKUP(Term3_Day_8[[#This Row],[Activity]],Types_of_Activity[Type of Activity],Types_of_Activity[Classification])=2,Term3_Day_8[[#This Row],[Elapsed]],0))</f>
        <v/>
      </c>
      <c r="BE37" s="106"/>
      <c r="BF37" s="135"/>
      <c r="BG37" s="135"/>
      <c r="BH37" s="102"/>
      <c r="BI37" s="105" t="str">
        <f>IF(OR(ISBLANK(Term3_Day_9[[#This Row],[Start]]),ISBLANK(Term3_Day_9[[#This Row],[End]])),"",(Term3_Day_9[[#This Row],[End]]-Term3_Day_9[[#This Row],[Start]])*1440)</f>
        <v/>
      </c>
      <c r="BJ37" s="105" t="str">
        <f>IF(ISBLANK(Term3_Day_9[[#This Row],[Activity]]),"",IF(_xlfn.XLOOKUP(Term3_Day_9[[#This Row],[Activity]],Types_of_Activity[Type of Activity],Types_of_Activity[Classification])=1,Term3_Day_9[[#This Row],[Elapsed]],0))</f>
        <v/>
      </c>
      <c r="BK37" s="105" t="str">
        <f>IF(ISBLANK(Term3_Day_9[[#This Row],[Activity]]),"",IF(_xlfn.XLOOKUP(Term3_Day_9[[#This Row],[Activity]],Types_of_Activity[Type of Activity],Types_of_Activity[Classification])=2,Term3_Day_9[[#This Row],[Elapsed]],0))</f>
        <v/>
      </c>
      <c r="BL37" s="106"/>
      <c r="BM37" s="135"/>
      <c r="BN37" s="135"/>
      <c r="BO37" s="102"/>
      <c r="BP37" s="105" t="str">
        <f>IF(OR(ISBLANK(Term3_Day_10[[#This Row],[Start]]),ISBLANK(Term3_Day_10[[#This Row],[End]])),"",(Term3_Day_10[[#This Row],[End]]-Term3_Day_10[[#This Row],[Start]])*1440)</f>
        <v/>
      </c>
      <c r="BQ37" s="105" t="str">
        <f>IF(ISBLANK(Term3_Day_10[[#This Row],[Activity]]),"",IF(_xlfn.XLOOKUP(Term3_Day_10[[#This Row],[Activity]],Types_of_Activity[Type of Activity],Types_of_Activity[Classification])=1,Term3_Day_10[[#This Row],[Elapsed]],0))</f>
        <v/>
      </c>
      <c r="BR37" s="105" t="str">
        <f>IF(ISBLANK(Term3_Day_10[[#This Row],[Activity]]),"",IF(_xlfn.XLOOKUP(Term3_Day_10[[#This Row],[Activity]],Types_of_Activity[Type of Activity],Types_of_Activity[Classification])=2,Term3_Day_10[[#This Row],[Elapsed]],0))</f>
        <v/>
      </c>
      <c r="BS37" s="106"/>
    </row>
    <row r="38" spans="2:71" x14ac:dyDescent="0.3">
      <c r="B38" s="135"/>
      <c r="C38" s="135"/>
      <c r="D38" s="102"/>
      <c r="E38" s="105" t="str">
        <f>IF(OR(ISBLANK(Term3_Day_1[[#This Row],[Start]]),ISBLANK(Term3_Day_1[[#This Row],[End]])),"",(Term3_Day_1[[#This Row],[End]]-Term3_Day_1[[#This Row],[Start]])*1440)</f>
        <v/>
      </c>
      <c r="F38" s="105" t="str">
        <f>IF(ISBLANK(Term3_Day_1[[#This Row],[Activity]]),"",IF(_xlfn.XLOOKUP(Term3_Day_1[[#This Row],[Activity]],Types_of_Activity[Type of Activity],Types_of_Activity[Classification])=1,Term3_Day_1[[#This Row],[Elapsed]],0))</f>
        <v/>
      </c>
      <c r="G38" s="105" t="str">
        <f>IF(ISBLANK(Term3_Day_1[[#This Row],[Activity]]),"",IF(_xlfn.XLOOKUP(Term3_Day_1[[#This Row],[Activity]],Types_of_Activity[Type of Activity],Types_of_Activity[Classification])=2,Term3_Day_1[[#This Row],[Elapsed]],0))</f>
        <v/>
      </c>
      <c r="I38" s="135"/>
      <c r="J38" s="135"/>
      <c r="K38" s="102"/>
      <c r="L38" s="105" t="str">
        <f>IF(OR(ISBLANK(Term3_Day_2[[#This Row],[Start]]),ISBLANK(Term3_Day_2[[#This Row],[End]])),"",(Term3_Day_2[[#This Row],[End]]-Term3_Day_2[[#This Row],[Start]])*1440)</f>
        <v/>
      </c>
      <c r="M38" s="105" t="str">
        <f>IF(ISBLANK(Term3_Day_2[[#This Row],[Activity]]),"",IF(_xlfn.XLOOKUP(Term3_Day_2[[#This Row],[Activity]],Types_of_Activity[Type of Activity],Types_of_Activity[Classification])=1,Term3_Day_2[[#This Row],[Elapsed]],0))</f>
        <v/>
      </c>
      <c r="N38" s="105" t="str">
        <f>IF(ISBLANK(Term3_Day_2[[#This Row],[Activity]]),"",IF(_xlfn.XLOOKUP(Term3_Day_2[[#This Row],[Activity]],Types_of_Activity[Type of Activity],Types_of_Activity[Classification])=2,Term3_Day_2[[#This Row],[Elapsed]],0))</f>
        <v/>
      </c>
      <c r="P38" s="135"/>
      <c r="Q38" s="135"/>
      <c r="R38" s="102"/>
      <c r="S38" s="105" t="str">
        <f>IF(OR(ISBLANK(Term3_Day_3[[#This Row],[Start]]),ISBLANK(Term3_Day_3[[#This Row],[End]])),"",(Term3_Day_3[[#This Row],[End]]-Term3_Day_3[[#This Row],[Start]])*1440)</f>
        <v/>
      </c>
      <c r="T38" s="105" t="str">
        <f>IF(ISBLANK(Term3_Day_3[[#This Row],[Activity]]),"",IF(_xlfn.XLOOKUP(Term3_Day_3[[#This Row],[Activity]],Types_of_Activity[Type of Activity],Types_of_Activity[Classification])=1,Term3_Day_3[[#This Row],[Elapsed]],0))</f>
        <v/>
      </c>
      <c r="U38" s="105" t="str">
        <f>IF(ISBLANK(Term3_Day_3[[#This Row],[Activity]]),"",IF(_xlfn.XLOOKUP(Term3_Day_3[[#This Row],[Activity]],Types_of_Activity[Type of Activity],Types_of_Activity[Classification])=2,Term3_Day_3[[#This Row],[Elapsed]],0))</f>
        <v/>
      </c>
      <c r="W38" s="135"/>
      <c r="X38" s="135"/>
      <c r="Y38" s="102"/>
      <c r="Z38" s="105" t="str">
        <f>IF(OR(ISBLANK(Term3_Day_4[[#This Row],[Start]]),ISBLANK(Term3_Day_4[[#This Row],[End]])),"",(Term3_Day_4[[#This Row],[End]]-Term3_Day_4[[#This Row],[Start]])*1440)</f>
        <v/>
      </c>
      <c r="AA38" s="105" t="str">
        <f>IF(ISBLANK(Term3_Day_4[[#This Row],[Activity]]),"",IF(_xlfn.XLOOKUP(Term3_Day_4[[#This Row],[Activity]],Types_of_Activity[Type of Activity],Types_of_Activity[Classification])=1,Term3_Day_4[[#This Row],[Elapsed]],0))</f>
        <v/>
      </c>
      <c r="AB38" s="105" t="str">
        <f>IF(ISBLANK(Term3_Day_4[[#This Row],[Activity]]),"",IF(_xlfn.XLOOKUP(Term3_Day_4[[#This Row],[Activity]],Types_of_Activity[Type of Activity],Types_of_Activity[Classification])=2,Term3_Day_4[[#This Row],[Elapsed]],0))</f>
        <v/>
      </c>
      <c r="AD38" s="135"/>
      <c r="AE38" s="135"/>
      <c r="AF38" s="102"/>
      <c r="AG38" s="105" t="str">
        <f>IF(OR(ISBLANK(Term3_Day_5[[#This Row],[Start]]),ISBLANK(Term3_Day_5[[#This Row],[End]])),"",(Term3_Day_5[[#This Row],[End]]-Term3_Day_5[[#This Row],[Start]])*1440)</f>
        <v/>
      </c>
      <c r="AH38" s="105" t="str">
        <f>IF(ISBLANK(Term3_Day_5[[#This Row],[Activity]]),"",IF(_xlfn.XLOOKUP(Term3_Day_5[[#This Row],[Activity]],Types_of_Activity[Type of Activity],Types_of_Activity[Classification])=1,Term3_Day_5[[#This Row],[Elapsed]],0))</f>
        <v/>
      </c>
      <c r="AI38" s="105" t="str">
        <f>IF(ISBLANK(Term3_Day_5[[#This Row],[Activity]]),"",IF(_xlfn.XLOOKUP(Term3_Day_5[[#This Row],[Activity]],Types_of_Activity[Type of Activity],Types_of_Activity[Classification])=2,Term3_Day_5[[#This Row],[Elapsed]],0))</f>
        <v/>
      </c>
      <c r="AJ38" s="106"/>
      <c r="AK38" s="135"/>
      <c r="AL38" s="135"/>
      <c r="AM38" s="102"/>
      <c r="AN38" s="105" t="str">
        <f>IF(OR(ISBLANK(Term3_Day_6[[#This Row],[Start]]),ISBLANK(Term3_Day_6[[#This Row],[End]])),"",(Term3_Day_6[[#This Row],[End]]-Term3_Day_6[[#This Row],[Start]])*1440)</f>
        <v/>
      </c>
      <c r="AO38" s="105" t="str">
        <f>IF(ISBLANK(Term3_Day_6[[#This Row],[Activity]]),"",IF(_xlfn.XLOOKUP(Term3_Day_6[[#This Row],[Activity]],Types_of_Activity[Type of Activity],Types_of_Activity[Classification])=1,Term3_Day_6[[#This Row],[Elapsed]],0))</f>
        <v/>
      </c>
      <c r="AP38" s="105" t="str">
        <f>IF(ISBLANK(Term3_Day_6[[#This Row],[Activity]]),"",IF(_xlfn.XLOOKUP(Term3_Day_6[[#This Row],[Activity]],Types_of_Activity[Type of Activity],Types_of_Activity[Classification])=2,Term3_Day_6[[#This Row],[Elapsed]],0))</f>
        <v/>
      </c>
      <c r="AQ38" s="106"/>
      <c r="AR38" s="135"/>
      <c r="AS38" s="135"/>
      <c r="AT38" s="102"/>
      <c r="AU38" s="105" t="str">
        <f>IF(OR(ISBLANK(Term3_Day_7[[#This Row],[Start]]),ISBLANK(Term3_Day_7[[#This Row],[End]])),"",(Term3_Day_7[[#This Row],[End]]-Term3_Day_7[[#This Row],[Start]])*1440)</f>
        <v/>
      </c>
      <c r="AV38" s="105" t="str">
        <f>IF(ISBLANK(Term3_Day_7[[#This Row],[Activity]]),"",IF(_xlfn.XLOOKUP(Term3_Day_7[[#This Row],[Activity]],Types_of_Activity[Type of Activity],Types_of_Activity[Classification])=1,Term3_Day_7[[#This Row],[Elapsed]],0))</f>
        <v/>
      </c>
      <c r="AW38" s="105" t="str">
        <f>IF(ISBLANK(Term3_Day_7[[#This Row],[Activity]]),"",IF(_xlfn.XLOOKUP(Term3_Day_7[[#This Row],[Activity]],Types_of_Activity[Type of Activity],Types_of_Activity[Classification])=2,Term3_Day_7[[#This Row],[Elapsed]],0))</f>
        <v/>
      </c>
      <c r="AX38" s="106"/>
      <c r="AY38" s="135"/>
      <c r="AZ38" s="135"/>
      <c r="BA38" s="102"/>
      <c r="BB38" s="105" t="str">
        <f>IF(OR(ISBLANK(Term3_Day_8[[#This Row],[Start]]),ISBLANK(Term3_Day_8[[#This Row],[End]])),"",(Term3_Day_8[[#This Row],[End]]-Term3_Day_8[[#This Row],[Start]])*1440)</f>
        <v/>
      </c>
      <c r="BC38" s="105" t="str">
        <f>IF(ISBLANK(Term3_Day_8[[#This Row],[Activity]]),"",IF(_xlfn.XLOOKUP(Term3_Day_8[[#This Row],[Activity]],Types_of_Activity[Type of Activity],Types_of_Activity[Classification])=1,Term3_Day_8[[#This Row],[Elapsed]],0))</f>
        <v/>
      </c>
      <c r="BD38" s="105" t="str">
        <f>IF(ISBLANK(Term3_Day_8[[#This Row],[Activity]]),"",IF(_xlfn.XLOOKUP(Term3_Day_8[[#This Row],[Activity]],Types_of_Activity[Type of Activity],Types_of_Activity[Classification])=2,Term3_Day_8[[#This Row],[Elapsed]],0))</f>
        <v/>
      </c>
      <c r="BE38" s="106"/>
      <c r="BF38" s="135"/>
      <c r="BG38" s="135"/>
      <c r="BH38" s="102"/>
      <c r="BI38" s="105" t="str">
        <f>IF(OR(ISBLANK(Term3_Day_9[[#This Row],[Start]]),ISBLANK(Term3_Day_9[[#This Row],[End]])),"",(Term3_Day_9[[#This Row],[End]]-Term3_Day_9[[#This Row],[Start]])*1440)</f>
        <v/>
      </c>
      <c r="BJ38" s="105" t="str">
        <f>IF(ISBLANK(Term3_Day_9[[#This Row],[Activity]]),"",IF(_xlfn.XLOOKUP(Term3_Day_9[[#This Row],[Activity]],Types_of_Activity[Type of Activity],Types_of_Activity[Classification])=1,Term3_Day_9[[#This Row],[Elapsed]],0))</f>
        <v/>
      </c>
      <c r="BK38" s="105" t="str">
        <f>IF(ISBLANK(Term3_Day_9[[#This Row],[Activity]]),"",IF(_xlfn.XLOOKUP(Term3_Day_9[[#This Row],[Activity]],Types_of_Activity[Type of Activity],Types_of_Activity[Classification])=2,Term3_Day_9[[#This Row],[Elapsed]],0))</f>
        <v/>
      </c>
      <c r="BL38" s="106"/>
      <c r="BM38" s="135"/>
      <c r="BN38" s="135"/>
      <c r="BO38" s="102"/>
      <c r="BP38" s="105" t="str">
        <f>IF(OR(ISBLANK(Term3_Day_10[[#This Row],[Start]]),ISBLANK(Term3_Day_10[[#This Row],[End]])),"",(Term3_Day_10[[#This Row],[End]]-Term3_Day_10[[#This Row],[Start]])*1440)</f>
        <v/>
      </c>
      <c r="BQ38" s="105" t="str">
        <f>IF(ISBLANK(Term3_Day_10[[#This Row],[Activity]]),"",IF(_xlfn.XLOOKUP(Term3_Day_10[[#This Row],[Activity]],Types_of_Activity[Type of Activity],Types_of_Activity[Classification])=1,Term3_Day_10[[#This Row],[Elapsed]],0))</f>
        <v/>
      </c>
      <c r="BR38" s="105" t="str">
        <f>IF(ISBLANK(Term3_Day_10[[#This Row],[Activity]]),"",IF(_xlfn.XLOOKUP(Term3_Day_10[[#This Row],[Activity]],Types_of_Activity[Type of Activity],Types_of_Activity[Classification])=2,Term3_Day_10[[#This Row],[Elapsed]],0))</f>
        <v/>
      </c>
      <c r="BS38" s="106"/>
    </row>
    <row r="39" spans="2:71" x14ac:dyDescent="0.3">
      <c r="B39" s="135"/>
      <c r="C39" s="135"/>
      <c r="D39" s="102"/>
      <c r="E39" s="105" t="str">
        <f>IF(OR(ISBLANK(Term3_Day_1[[#This Row],[Start]]),ISBLANK(Term3_Day_1[[#This Row],[End]])),"",(Term3_Day_1[[#This Row],[End]]-Term3_Day_1[[#This Row],[Start]])*1440)</f>
        <v/>
      </c>
      <c r="F39" s="105" t="str">
        <f>IF(ISBLANK(Term3_Day_1[[#This Row],[Activity]]),"",IF(_xlfn.XLOOKUP(Term3_Day_1[[#This Row],[Activity]],Types_of_Activity[Type of Activity],Types_of_Activity[Classification])=1,Term3_Day_1[[#This Row],[Elapsed]],0))</f>
        <v/>
      </c>
      <c r="G39" s="105" t="str">
        <f>IF(ISBLANK(Term3_Day_1[[#This Row],[Activity]]),"",IF(_xlfn.XLOOKUP(Term3_Day_1[[#This Row],[Activity]],Types_of_Activity[Type of Activity],Types_of_Activity[Classification])=2,Term3_Day_1[[#This Row],[Elapsed]],0))</f>
        <v/>
      </c>
      <c r="I39" s="135"/>
      <c r="J39" s="135"/>
      <c r="K39" s="102"/>
      <c r="L39" s="105" t="str">
        <f>IF(OR(ISBLANK(Term3_Day_2[[#This Row],[Start]]),ISBLANK(Term3_Day_2[[#This Row],[End]])),"",(Term3_Day_2[[#This Row],[End]]-Term3_Day_2[[#This Row],[Start]])*1440)</f>
        <v/>
      </c>
      <c r="M39" s="105" t="str">
        <f>IF(ISBLANK(Term3_Day_2[[#This Row],[Activity]]),"",IF(_xlfn.XLOOKUP(Term3_Day_2[[#This Row],[Activity]],Types_of_Activity[Type of Activity],Types_of_Activity[Classification])=1,Term3_Day_2[[#This Row],[Elapsed]],0))</f>
        <v/>
      </c>
      <c r="N39" s="105" t="str">
        <f>IF(ISBLANK(Term3_Day_2[[#This Row],[Activity]]),"",IF(_xlfn.XLOOKUP(Term3_Day_2[[#This Row],[Activity]],Types_of_Activity[Type of Activity],Types_of_Activity[Classification])=2,Term3_Day_2[[#This Row],[Elapsed]],0))</f>
        <v/>
      </c>
      <c r="P39" s="135"/>
      <c r="Q39" s="135"/>
      <c r="R39" s="102"/>
      <c r="S39" s="105" t="str">
        <f>IF(OR(ISBLANK(Term3_Day_3[[#This Row],[Start]]),ISBLANK(Term3_Day_3[[#This Row],[End]])),"",(Term3_Day_3[[#This Row],[End]]-Term3_Day_3[[#This Row],[Start]])*1440)</f>
        <v/>
      </c>
      <c r="T39" s="105" t="str">
        <f>IF(ISBLANK(Term3_Day_3[[#This Row],[Activity]]),"",IF(_xlfn.XLOOKUP(Term3_Day_3[[#This Row],[Activity]],Types_of_Activity[Type of Activity],Types_of_Activity[Classification])=1,Term3_Day_3[[#This Row],[Elapsed]],0))</f>
        <v/>
      </c>
      <c r="U39" s="105" t="str">
        <f>IF(ISBLANK(Term3_Day_3[[#This Row],[Activity]]),"",IF(_xlfn.XLOOKUP(Term3_Day_3[[#This Row],[Activity]],Types_of_Activity[Type of Activity],Types_of_Activity[Classification])=2,Term3_Day_3[[#This Row],[Elapsed]],0))</f>
        <v/>
      </c>
      <c r="W39" s="135"/>
      <c r="X39" s="135"/>
      <c r="Y39" s="102"/>
      <c r="Z39" s="105" t="str">
        <f>IF(OR(ISBLANK(Term3_Day_4[[#This Row],[Start]]),ISBLANK(Term3_Day_4[[#This Row],[End]])),"",(Term3_Day_4[[#This Row],[End]]-Term3_Day_4[[#This Row],[Start]])*1440)</f>
        <v/>
      </c>
      <c r="AA39" s="105" t="str">
        <f>IF(ISBLANK(Term3_Day_4[[#This Row],[Activity]]),"",IF(_xlfn.XLOOKUP(Term3_Day_4[[#This Row],[Activity]],Types_of_Activity[Type of Activity],Types_of_Activity[Classification])=1,Term3_Day_4[[#This Row],[Elapsed]],0))</f>
        <v/>
      </c>
      <c r="AB39" s="105" t="str">
        <f>IF(ISBLANK(Term3_Day_4[[#This Row],[Activity]]),"",IF(_xlfn.XLOOKUP(Term3_Day_4[[#This Row],[Activity]],Types_of_Activity[Type of Activity],Types_of_Activity[Classification])=2,Term3_Day_4[[#This Row],[Elapsed]],0))</f>
        <v/>
      </c>
      <c r="AD39" s="135"/>
      <c r="AE39" s="135"/>
      <c r="AF39" s="102"/>
      <c r="AG39" s="105" t="str">
        <f>IF(OR(ISBLANK(Term3_Day_5[[#This Row],[Start]]),ISBLANK(Term3_Day_5[[#This Row],[End]])),"",(Term3_Day_5[[#This Row],[End]]-Term3_Day_5[[#This Row],[Start]])*1440)</f>
        <v/>
      </c>
      <c r="AH39" s="105" t="str">
        <f>IF(ISBLANK(Term3_Day_5[[#This Row],[Activity]]),"",IF(_xlfn.XLOOKUP(Term3_Day_5[[#This Row],[Activity]],Types_of_Activity[Type of Activity],Types_of_Activity[Classification])=1,Term3_Day_5[[#This Row],[Elapsed]],0))</f>
        <v/>
      </c>
      <c r="AI39" s="105" t="str">
        <f>IF(ISBLANK(Term3_Day_5[[#This Row],[Activity]]),"",IF(_xlfn.XLOOKUP(Term3_Day_5[[#This Row],[Activity]],Types_of_Activity[Type of Activity],Types_of_Activity[Classification])=2,Term3_Day_5[[#This Row],[Elapsed]],0))</f>
        <v/>
      </c>
      <c r="AJ39" s="106"/>
      <c r="AK39" s="135"/>
      <c r="AL39" s="135"/>
      <c r="AM39" s="102"/>
      <c r="AN39" s="105" t="str">
        <f>IF(OR(ISBLANK(Term3_Day_6[[#This Row],[Start]]),ISBLANK(Term3_Day_6[[#This Row],[End]])),"",(Term3_Day_6[[#This Row],[End]]-Term3_Day_6[[#This Row],[Start]])*1440)</f>
        <v/>
      </c>
      <c r="AO39" s="105" t="str">
        <f>IF(ISBLANK(Term3_Day_6[[#This Row],[Activity]]),"",IF(_xlfn.XLOOKUP(Term3_Day_6[[#This Row],[Activity]],Types_of_Activity[Type of Activity],Types_of_Activity[Classification])=1,Term3_Day_6[[#This Row],[Elapsed]],0))</f>
        <v/>
      </c>
      <c r="AP39" s="105" t="str">
        <f>IF(ISBLANK(Term3_Day_6[[#This Row],[Activity]]),"",IF(_xlfn.XLOOKUP(Term3_Day_6[[#This Row],[Activity]],Types_of_Activity[Type of Activity],Types_of_Activity[Classification])=2,Term3_Day_6[[#This Row],[Elapsed]],0))</f>
        <v/>
      </c>
      <c r="AQ39" s="106"/>
      <c r="AR39" s="135"/>
      <c r="AS39" s="135"/>
      <c r="AT39" s="102"/>
      <c r="AU39" s="105" t="str">
        <f>IF(OR(ISBLANK(Term3_Day_7[[#This Row],[Start]]),ISBLANK(Term3_Day_7[[#This Row],[End]])),"",(Term3_Day_7[[#This Row],[End]]-Term3_Day_7[[#This Row],[Start]])*1440)</f>
        <v/>
      </c>
      <c r="AV39" s="105" t="str">
        <f>IF(ISBLANK(Term3_Day_7[[#This Row],[Activity]]),"",IF(_xlfn.XLOOKUP(Term3_Day_7[[#This Row],[Activity]],Types_of_Activity[Type of Activity],Types_of_Activity[Classification])=1,Term3_Day_7[[#This Row],[Elapsed]],0))</f>
        <v/>
      </c>
      <c r="AW39" s="105" t="str">
        <f>IF(ISBLANK(Term3_Day_7[[#This Row],[Activity]]),"",IF(_xlfn.XLOOKUP(Term3_Day_7[[#This Row],[Activity]],Types_of_Activity[Type of Activity],Types_of_Activity[Classification])=2,Term3_Day_7[[#This Row],[Elapsed]],0))</f>
        <v/>
      </c>
      <c r="AX39" s="106"/>
      <c r="AY39" s="135"/>
      <c r="AZ39" s="135"/>
      <c r="BA39" s="102"/>
      <c r="BB39" s="105" t="str">
        <f>IF(OR(ISBLANK(Term3_Day_8[[#This Row],[Start]]),ISBLANK(Term3_Day_8[[#This Row],[End]])),"",(Term3_Day_8[[#This Row],[End]]-Term3_Day_8[[#This Row],[Start]])*1440)</f>
        <v/>
      </c>
      <c r="BC39" s="105" t="str">
        <f>IF(ISBLANK(Term3_Day_8[[#This Row],[Activity]]),"",IF(_xlfn.XLOOKUP(Term3_Day_8[[#This Row],[Activity]],Types_of_Activity[Type of Activity],Types_of_Activity[Classification])=1,Term3_Day_8[[#This Row],[Elapsed]],0))</f>
        <v/>
      </c>
      <c r="BD39" s="105" t="str">
        <f>IF(ISBLANK(Term3_Day_8[[#This Row],[Activity]]),"",IF(_xlfn.XLOOKUP(Term3_Day_8[[#This Row],[Activity]],Types_of_Activity[Type of Activity],Types_of_Activity[Classification])=2,Term3_Day_8[[#This Row],[Elapsed]],0))</f>
        <v/>
      </c>
      <c r="BE39" s="106"/>
      <c r="BF39" s="135"/>
      <c r="BG39" s="135"/>
      <c r="BH39" s="102"/>
      <c r="BI39" s="105" t="str">
        <f>IF(OR(ISBLANK(Term3_Day_9[[#This Row],[Start]]),ISBLANK(Term3_Day_9[[#This Row],[End]])),"",(Term3_Day_9[[#This Row],[End]]-Term3_Day_9[[#This Row],[Start]])*1440)</f>
        <v/>
      </c>
      <c r="BJ39" s="105" t="str">
        <f>IF(ISBLANK(Term3_Day_9[[#This Row],[Activity]]),"",IF(_xlfn.XLOOKUP(Term3_Day_9[[#This Row],[Activity]],Types_of_Activity[Type of Activity],Types_of_Activity[Classification])=1,Term3_Day_9[[#This Row],[Elapsed]],0))</f>
        <v/>
      </c>
      <c r="BK39" s="105" t="str">
        <f>IF(ISBLANK(Term3_Day_9[[#This Row],[Activity]]),"",IF(_xlfn.XLOOKUP(Term3_Day_9[[#This Row],[Activity]],Types_of_Activity[Type of Activity],Types_of_Activity[Classification])=2,Term3_Day_9[[#This Row],[Elapsed]],0))</f>
        <v/>
      </c>
      <c r="BL39" s="106"/>
      <c r="BM39" s="135"/>
      <c r="BN39" s="135"/>
      <c r="BO39" s="102"/>
      <c r="BP39" s="105" t="str">
        <f>IF(OR(ISBLANK(Term3_Day_10[[#This Row],[Start]]),ISBLANK(Term3_Day_10[[#This Row],[End]])),"",(Term3_Day_10[[#This Row],[End]]-Term3_Day_10[[#This Row],[Start]])*1440)</f>
        <v/>
      </c>
      <c r="BQ39" s="105" t="str">
        <f>IF(ISBLANK(Term3_Day_10[[#This Row],[Activity]]),"",IF(_xlfn.XLOOKUP(Term3_Day_10[[#This Row],[Activity]],Types_of_Activity[Type of Activity],Types_of_Activity[Classification])=1,Term3_Day_10[[#This Row],[Elapsed]],0))</f>
        <v/>
      </c>
      <c r="BR39" s="105" t="str">
        <f>IF(ISBLANK(Term3_Day_10[[#This Row],[Activity]]),"",IF(_xlfn.XLOOKUP(Term3_Day_10[[#This Row],[Activity]],Types_of_Activity[Type of Activity],Types_of_Activity[Classification])=2,Term3_Day_10[[#This Row],[Elapsed]],0))</f>
        <v/>
      </c>
      <c r="BS39" s="106"/>
    </row>
    <row r="40" spans="2:71" x14ac:dyDescent="0.3">
      <c r="B40" s="135"/>
      <c r="C40" s="135"/>
      <c r="D40" s="102"/>
      <c r="E40" s="105" t="str">
        <f>IF(OR(ISBLANK(Term3_Day_1[[#This Row],[Start]]),ISBLANK(Term3_Day_1[[#This Row],[End]])),"",(Term3_Day_1[[#This Row],[End]]-Term3_Day_1[[#This Row],[Start]])*1440)</f>
        <v/>
      </c>
      <c r="F40" s="105" t="str">
        <f>IF(ISBLANK(Term3_Day_1[[#This Row],[Activity]]),"",IF(_xlfn.XLOOKUP(Term3_Day_1[[#This Row],[Activity]],Types_of_Activity[Type of Activity],Types_of_Activity[Classification])=1,Term3_Day_1[[#This Row],[Elapsed]],0))</f>
        <v/>
      </c>
      <c r="G40" s="105" t="str">
        <f>IF(ISBLANK(Term3_Day_1[[#This Row],[Activity]]),"",IF(_xlfn.XLOOKUP(Term3_Day_1[[#This Row],[Activity]],Types_of_Activity[Type of Activity],Types_of_Activity[Classification])=2,Term3_Day_1[[#This Row],[Elapsed]],0))</f>
        <v/>
      </c>
      <c r="I40" s="135"/>
      <c r="J40" s="135"/>
      <c r="K40" s="102"/>
      <c r="L40" s="105" t="str">
        <f>IF(OR(ISBLANK(Term3_Day_2[[#This Row],[Start]]),ISBLANK(Term3_Day_2[[#This Row],[End]])),"",(Term3_Day_2[[#This Row],[End]]-Term3_Day_2[[#This Row],[Start]])*1440)</f>
        <v/>
      </c>
      <c r="M40" s="105" t="str">
        <f>IF(ISBLANK(Term3_Day_2[[#This Row],[Activity]]),"",IF(_xlfn.XLOOKUP(Term3_Day_2[[#This Row],[Activity]],Types_of_Activity[Type of Activity],Types_of_Activity[Classification])=1,Term3_Day_2[[#This Row],[Elapsed]],0))</f>
        <v/>
      </c>
      <c r="N40" s="105" t="str">
        <f>IF(ISBLANK(Term3_Day_2[[#This Row],[Activity]]),"",IF(_xlfn.XLOOKUP(Term3_Day_2[[#This Row],[Activity]],Types_of_Activity[Type of Activity],Types_of_Activity[Classification])=2,Term3_Day_2[[#This Row],[Elapsed]],0))</f>
        <v/>
      </c>
      <c r="P40" s="135"/>
      <c r="Q40" s="135"/>
      <c r="R40" s="102"/>
      <c r="S40" s="105" t="str">
        <f>IF(OR(ISBLANK(Term3_Day_3[[#This Row],[Start]]),ISBLANK(Term3_Day_3[[#This Row],[End]])),"",(Term3_Day_3[[#This Row],[End]]-Term3_Day_3[[#This Row],[Start]])*1440)</f>
        <v/>
      </c>
      <c r="T40" s="105" t="str">
        <f>IF(ISBLANK(Term3_Day_3[[#This Row],[Activity]]),"",IF(_xlfn.XLOOKUP(Term3_Day_3[[#This Row],[Activity]],Types_of_Activity[Type of Activity],Types_of_Activity[Classification])=1,Term3_Day_3[[#This Row],[Elapsed]],0))</f>
        <v/>
      </c>
      <c r="U40" s="105" t="str">
        <f>IF(ISBLANK(Term3_Day_3[[#This Row],[Activity]]),"",IF(_xlfn.XLOOKUP(Term3_Day_3[[#This Row],[Activity]],Types_of_Activity[Type of Activity],Types_of_Activity[Classification])=2,Term3_Day_3[[#This Row],[Elapsed]],0))</f>
        <v/>
      </c>
      <c r="W40" s="135"/>
      <c r="X40" s="135"/>
      <c r="Y40" s="102"/>
      <c r="Z40" s="105" t="str">
        <f>IF(OR(ISBLANK(Term3_Day_4[[#This Row],[Start]]),ISBLANK(Term3_Day_4[[#This Row],[End]])),"",(Term3_Day_4[[#This Row],[End]]-Term3_Day_4[[#This Row],[Start]])*1440)</f>
        <v/>
      </c>
      <c r="AA40" s="105" t="str">
        <f>IF(ISBLANK(Term3_Day_4[[#This Row],[Activity]]),"",IF(_xlfn.XLOOKUP(Term3_Day_4[[#This Row],[Activity]],Types_of_Activity[Type of Activity],Types_of_Activity[Classification])=1,Term3_Day_4[[#This Row],[Elapsed]],0))</f>
        <v/>
      </c>
      <c r="AB40" s="105" t="str">
        <f>IF(ISBLANK(Term3_Day_4[[#This Row],[Activity]]),"",IF(_xlfn.XLOOKUP(Term3_Day_4[[#This Row],[Activity]],Types_of_Activity[Type of Activity],Types_of_Activity[Classification])=2,Term3_Day_4[[#This Row],[Elapsed]],0))</f>
        <v/>
      </c>
      <c r="AD40" s="135"/>
      <c r="AE40" s="135"/>
      <c r="AF40" s="102"/>
      <c r="AG40" s="105" t="str">
        <f>IF(OR(ISBLANK(Term3_Day_5[[#This Row],[Start]]),ISBLANK(Term3_Day_5[[#This Row],[End]])),"",(Term3_Day_5[[#This Row],[End]]-Term3_Day_5[[#This Row],[Start]])*1440)</f>
        <v/>
      </c>
      <c r="AH40" s="105" t="str">
        <f>IF(ISBLANK(Term3_Day_5[[#This Row],[Activity]]),"",IF(_xlfn.XLOOKUP(Term3_Day_5[[#This Row],[Activity]],Types_of_Activity[Type of Activity],Types_of_Activity[Classification])=1,Term3_Day_5[[#This Row],[Elapsed]],0))</f>
        <v/>
      </c>
      <c r="AI40" s="105" t="str">
        <f>IF(ISBLANK(Term3_Day_5[[#This Row],[Activity]]),"",IF(_xlfn.XLOOKUP(Term3_Day_5[[#This Row],[Activity]],Types_of_Activity[Type of Activity],Types_of_Activity[Classification])=2,Term3_Day_5[[#This Row],[Elapsed]],0))</f>
        <v/>
      </c>
      <c r="AJ40" s="106"/>
      <c r="AK40" s="135"/>
      <c r="AL40" s="135"/>
      <c r="AM40" s="102"/>
      <c r="AN40" s="105" t="str">
        <f>IF(OR(ISBLANK(Term3_Day_6[[#This Row],[Start]]),ISBLANK(Term3_Day_6[[#This Row],[End]])),"",(Term3_Day_6[[#This Row],[End]]-Term3_Day_6[[#This Row],[Start]])*1440)</f>
        <v/>
      </c>
      <c r="AO40" s="105" t="str">
        <f>IF(ISBLANK(Term3_Day_6[[#This Row],[Activity]]),"",IF(_xlfn.XLOOKUP(Term3_Day_6[[#This Row],[Activity]],Types_of_Activity[Type of Activity],Types_of_Activity[Classification])=1,Term3_Day_6[[#This Row],[Elapsed]],0))</f>
        <v/>
      </c>
      <c r="AP40" s="105" t="str">
        <f>IF(ISBLANK(Term3_Day_6[[#This Row],[Activity]]),"",IF(_xlfn.XLOOKUP(Term3_Day_6[[#This Row],[Activity]],Types_of_Activity[Type of Activity],Types_of_Activity[Classification])=2,Term3_Day_6[[#This Row],[Elapsed]],0))</f>
        <v/>
      </c>
      <c r="AQ40" s="106"/>
      <c r="AR40" s="135"/>
      <c r="AS40" s="135"/>
      <c r="AT40" s="102"/>
      <c r="AU40" s="105" t="str">
        <f>IF(OR(ISBLANK(Term3_Day_7[[#This Row],[Start]]),ISBLANK(Term3_Day_7[[#This Row],[End]])),"",(Term3_Day_7[[#This Row],[End]]-Term3_Day_7[[#This Row],[Start]])*1440)</f>
        <v/>
      </c>
      <c r="AV40" s="105" t="str">
        <f>IF(ISBLANK(Term3_Day_7[[#This Row],[Activity]]),"",IF(_xlfn.XLOOKUP(Term3_Day_7[[#This Row],[Activity]],Types_of_Activity[Type of Activity],Types_of_Activity[Classification])=1,Term3_Day_7[[#This Row],[Elapsed]],0))</f>
        <v/>
      </c>
      <c r="AW40" s="105" t="str">
        <f>IF(ISBLANK(Term3_Day_7[[#This Row],[Activity]]),"",IF(_xlfn.XLOOKUP(Term3_Day_7[[#This Row],[Activity]],Types_of_Activity[Type of Activity],Types_of_Activity[Classification])=2,Term3_Day_7[[#This Row],[Elapsed]],0))</f>
        <v/>
      </c>
      <c r="AX40" s="106"/>
      <c r="AY40" s="135"/>
      <c r="AZ40" s="135"/>
      <c r="BA40" s="102"/>
      <c r="BB40" s="105" t="str">
        <f>IF(OR(ISBLANK(Term3_Day_8[[#This Row],[Start]]),ISBLANK(Term3_Day_8[[#This Row],[End]])),"",(Term3_Day_8[[#This Row],[End]]-Term3_Day_8[[#This Row],[Start]])*1440)</f>
        <v/>
      </c>
      <c r="BC40" s="105" t="str">
        <f>IF(ISBLANK(Term3_Day_8[[#This Row],[Activity]]),"",IF(_xlfn.XLOOKUP(Term3_Day_8[[#This Row],[Activity]],Types_of_Activity[Type of Activity],Types_of_Activity[Classification])=1,Term3_Day_8[[#This Row],[Elapsed]],0))</f>
        <v/>
      </c>
      <c r="BD40" s="105" t="str">
        <f>IF(ISBLANK(Term3_Day_8[[#This Row],[Activity]]),"",IF(_xlfn.XLOOKUP(Term3_Day_8[[#This Row],[Activity]],Types_of_Activity[Type of Activity],Types_of_Activity[Classification])=2,Term3_Day_8[[#This Row],[Elapsed]],0))</f>
        <v/>
      </c>
      <c r="BE40" s="106"/>
      <c r="BF40" s="135"/>
      <c r="BG40" s="135"/>
      <c r="BH40" s="102"/>
      <c r="BI40" s="105" t="str">
        <f>IF(OR(ISBLANK(Term3_Day_9[[#This Row],[Start]]),ISBLANK(Term3_Day_9[[#This Row],[End]])),"",(Term3_Day_9[[#This Row],[End]]-Term3_Day_9[[#This Row],[Start]])*1440)</f>
        <v/>
      </c>
      <c r="BJ40" s="105" t="str">
        <f>IF(ISBLANK(Term3_Day_9[[#This Row],[Activity]]),"",IF(_xlfn.XLOOKUP(Term3_Day_9[[#This Row],[Activity]],Types_of_Activity[Type of Activity],Types_of_Activity[Classification])=1,Term3_Day_9[[#This Row],[Elapsed]],0))</f>
        <v/>
      </c>
      <c r="BK40" s="105" t="str">
        <f>IF(ISBLANK(Term3_Day_9[[#This Row],[Activity]]),"",IF(_xlfn.XLOOKUP(Term3_Day_9[[#This Row],[Activity]],Types_of_Activity[Type of Activity],Types_of_Activity[Classification])=2,Term3_Day_9[[#This Row],[Elapsed]],0))</f>
        <v/>
      </c>
      <c r="BL40" s="106"/>
      <c r="BM40" s="135"/>
      <c r="BN40" s="135"/>
      <c r="BO40" s="102"/>
      <c r="BP40" s="105" t="str">
        <f>IF(OR(ISBLANK(Term3_Day_10[[#This Row],[Start]]),ISBLANK(Term3_Day_10[[#This Row],[End]])),"",(Term3_Day_10[[#This Row],[End]]-Term3_Day_10[[#This Row],[Start]])*1440)</f>
        <v/>
      </c>
      <c r="BQ40" s="105" t="str">
        <f>IF(ISBLANK(Term3_Day_10[[#This Row],[Activity]]),"",IF(_xlfn.XLOOKUP(Term3_Day_10[[#This Row],[Activity]],Types_of_Activity[Type of Activity],Types_of_Activity[Classification])=1,Term3_Day_10[[#This Row],[Elapsed]],0))</f>
        <v/>
      </c>
      <c r="BR40" s="105" t="str">
        <f>IF(ISBLANK(Term3_Day_10[[#This Row],[Activity]]),"",IF(_xlfn.XLOOKUP(Term3_Day_10[[#This Row],[Activity]],Types_of_Activity[Type of Activity],Types_of_Activity[Classification])=2,Term3_Day_10[[#This Row],[Elapsed]],0))</f>
        <v/>
      </c>
      <c r="BS40" s="106"/>
    </row>
    <row r="41" spans="2:71" x14ac:dyDescent="0.3">
      <c r="B41" s="135"/>
      <c r="C41" s="135"/>
      <c r="D41" s="102"/>
      <c r="E41" s="105" t="str">
        <f>IF(OR(ISBLANK(Term3_Day_1[[#This Row],[Start]]),ISBLANK(Term3_Day_1[[#This Row],[End]])),"",(Term3_Day_1[[#This Row],[End]]-Term3_Day_1[[#This Row],[Start]])*1440)</f>
        <v/>
      </c>
      <c r="F41" s="105" t="str">
        <f>IF(ISBLANK(Term3_Day_1[[#This Row],[Activity]]),"",IF(_xlfn.XLOOKUP(Term3_Day_1[[#This Row],[Activity]],Types_of_Activity[Type of Activity],Types_of_Activity[Classification])=1,Term3_Day_1[[#This Row],[Elapsed]],0))</f>
        <v/>
      </c>
      <c r="G41" s="105" t="str">
        <f>IF(ISBLANK(Term3_Day_1[[#This Row],[Activity]]),"",IF(_xlfn.XLOOKUP(Term3_Day_1[[#This Row],[Activity]],Types_of_Activity[Type of Activity],Types_of_Activity[Classification])=2,Term3_Day_1[[#This Row],[Elapsed]],0))</f>
        <v/>
      </c>
      <c r="I41" s="135"/>
      <c r="J41" s="135"/>
      <c r="K41" s="102"/>
      <c r="L41" s="105" t="str">
        <f>IF(OR(ISBLANK(Term3_Day_2[[#This Row],[Start]]),ISBLANK(Term3_Day_2[[#This Row],[End]])),"",(Term3_Day_2[[#This Row],[End]]-Term3_Day_2[[#This Row],[Start]])*1440)</f>
        <v/>
      </c>
      <c r="M41" s="105" t="str">
        <f>IF(ISBLANK(Term3_Day_2[[#This Row],[Activity]]),"",IF(_xlfn.XLOOKUP(Term3_Day_2[[#This Row],[Activity]],Types_of_Activity[Type of Activity],Types_of_Activity[Classification])=1,Term3_Day_2[[#This Row],[Elapsed]],0))</f>
        <v/>
      </c>
      <c r="N41" s="105" t="str">
        <f>IF(ISBLANK(Term3_Day_2[[#This Row],[Activity]]),"",IF(_xlfn.XLOOKUP(Term3_Day_2[[#This Row],[Activity]],Types_of_Activity[Type of Activity],Types_of_Activity[Classification])=2,Term3_Day_2[[#This Row],[Elapsed]],0))</f>
        <v/>
      </c>
      <c r="P41" s="135"/>
      <c r="Q41" s="135"/>
      <c r="R41" s="102"/>
      <c r="S41" s="105" t="str">
        <f>IF(OR(ISBLANK(Term3_Day_3[[#This Row],[Start]]),ISBLANK(Term3_Day_3[[#This Row],[End]])),"",(Term3_Day_3[[#This Row],[End]]-Term3_Day_3[[#This Row],[Start]])*1440)</f>
        <v/>
      </c>
      <c r="T41" s="105" t="str">
        <f>IF(ISBLANK(Term3_Day_3[[#This Row],[Activity]]),"",IF(_xlfn.XLOOKUP(Term3_Day_3[[#This Row],[Activity]],Types_of_Activity[Type of Activity],Types_of_Activity[Classification])=1,Term3_Day_3[[#This Row],[Elapsed]],0))</f>
        <v/>
      </c>
      <c r="U41" s="105" t="str">
        <f>IF(ISBLANK(Term3_Day_3[[#This Row],[Activity]]),"",IF(_xlfn.XLOOKUP(Term3_Day_3[[#This Row],[Activity]],Types_of_Activity[Type of Activity],Types_of_Activity[Classification])=2,Term3_Day_3[[#This Row],[Elapsed]],0))</f>
        <v/>
      </c>
      <c r="W41" s="135"/>
      <c r="X41" s="135"/>
      <c r="Y41" s="102"/>
      <c r="Z41" s="105" t="str">
        <f>IF(OR(ISBLANK(Term3_Day_4[[#This Row],[Start]]),ISBLANK(Term3_Day_4[[#This Row],[End]])),"",(Term3_Day_4[[#This Row],[End]]-Term3_Day_4[[#This Row],[Start]])*1440)</f>
        <v/>
      </c>
      <c r="AA41" s="105" t="str">
        <f>IF(ISBLANK(Term3_Day_4[[#This Row],[Activity]]),"",IF(_xlfn.XLOOKUP(Term3_Day_4[[#This Row],[Activity]],Types_of_Activity[Type of Activity],Types_of_Activity[Classification])=1,Term3_Day_4[[#This Row],[Elapsed]],0))</f>
        <v/>
      </c>
      <c r="AB41" s="105" t="str">
        <f>IF(ISBLANK(Term3_Day_4[[#This Row],[Activity]]),"",IF(_xlfn.XLOOKUP(Term3_Day_4[[#This Row],[Activity]],Types_of_Activity[Type of Activity],Types_of_Activity[Classification])=2,Term3_Day_4[[#This Row],[Elapsed]],0))</f>
        <v/>
      </c>
      <c r="AD41" s="135"/>
      <c r="AE41" s="135"/>
      <c r="AF41" s="102"/>
      <c r="AG41" s="105" t="str">
        <f>IF(OR(ISBLANK(Term3_Day_5[[#This Row],[Start]]),ISBLANK(Term3_Day_5[[#This Row],[End]])),"",(Term3_Day_5[[#This Row],[End]]-Term3_Day_5[[#This Row],[Start]])*1440)</f>
        <v/>
      </c>
      <c r="AH41" s="105" t="str">
        <f>IF(ISBLANK(Term3_Day_5[[#This Row],[Activity]]),"",IF(_xlfn.XLOOKUP(Term3_Day_5[[#This Row],[Activity]],Types_of_Activity[Type of Activity],Types_of_Activity[Classification])=1,Term3_Day_5[[#This Row],[Elapsed]],0))</f>
        <v/>
      </c>
      <c r="AI41" s="105" t="str">
        <f>IF(ISBLANK(Term3_Day_5[[#This Row],[Activity]]),"",IF(_xlfn.XLOOKUP(Term3_Day_5[[#This Row],[Activity]],Types_of_Activity[Type of Activity],Types_of_Activity[Classification])=2,Term3_Day_5[[#This Row],[Elapsed]],0))</f>
        <v/>
      </c>
      <c r="AJ41" s="106"/>
      <c r="AK41" s="135"/>
      <c r="AL41" s="135"/>
      <c r="AM41" s="102"/>
      <c r="AN41" s="105" t="str">
        <f>IF(OR(ISBLANK(Term3_Day_6[[#This Row],[Start]]),ISBLANK(Term3_Day_6[[#This Row],[End]])),"",(Term3_Day_6[[#This Row],[End]]-Term3_Day_6[[#This Row],[Start]])*1440)</f>
        <v/>
      </c>
      <c r="AO41" s="105" t="str">
        <f>IF(ISBLANK(Term3_Day_6[[#This Row],[Activity]]),"",IF(_xlfn.XLOOKUP(Term3_Day_6[[#This Row],[Activity]],Types_of_Activity[Type of Activity],Types_of_Activity[Classification])=1,Term3_Day_6[[#This Row],[Elapsed]],0))</f>
        <v/>
      </c>
      <c r="AP41" s="105" t="str">
        <f>IF(ISBLANK(Term3_Day_6[[#This Row],[Activity]]),"",IF(_xlfn.XLOOKUP(Term3_Day_6[[#This Row],[Activity]],Types_of_Activity[Type of Activity],Types_of_Activity[Classification])=2,Term3_Day_6[[#This Row],[Elapsed]],0))</f>
        <v/>
      </c>
      <c r="AQ41" s="106"/>
      <c r="AR41" s="135"/>
      <c r="AS41" s="135"/>
      <c r="AT41" s="102"/>
      <c r="AU41" s="105" t="str">
        <f>IF(OR(ISBLANK(Term3_Day_7[[#This Row],[Start]]),ISBLANK(Term3_Day_7[[#This Row],[End]])),"",(Term3_Day_7[[#This Row],[End]]-Term3_Day_7[[#This Row],[Start]])*1440)</f>
        <v/>
      </c>
      <c r="AV41" s="105" t="str">
        <f>IF(ISBLANK(Term3_Day_7[[#This Row],[Activity]]),"",IF(_xlfn.XLOOKUP(Term3_Day_7[[#This Row],[Activity]],Types_of_Activity[Type of Activity],Types_of_Activity[Classification])=1,Term3_Day_7[[#This Row],[Elapsed]],0))</f>
        <v/>
      </c>
      <c r="AW41" s="105" t="str">
        <f>IF(ISBLANK(Term3_Day_7[[#This Row],[Activity]]),"",IF(_xlfn.XLOOKUP(Term3_Day_7[[#This Row],[Activity]],Types_of_Activity[Type of Activity],Types_of_Activity[Classification])=2,Term3_Day_7[[#This Row],[Elapsed]],0))</f>
        <v/>
      </c>
      <c r="AX41" s="106"/>
      <c r="AY41" s="135"/>
      <c r="AZ41" s="135"/>
      <c r="BA41" s="102"/>
      <c r="BB41" s="105" t="str">
        <f>IF(OR(ISBLANK(Term3_Day_8[[#This Row],[Start]]),ISBLANK(Term3_Day_8[[#This Row],[End]])),"",(Term3_Day_8[[#This Row],[End]]-Term3_Day_8[[#This Row],[Start]])*1440)</f>
        <v/>
      </c>
      <c r="BC41" s="105" t="str">
        <f>IF(ISBLANK(Term3_Day_8[[#This Row],[Activity]]),"",IF(_xlfn.XLOOKUP(Term3_Day_8[[#This Row],[Activity]],Types_of_Activity[Type of Activity],Types_of_Activity[Classification])=1,Term3_Day_8[[#This Row],[Elapsed]],0))</f>
        <v/>
      </c>
      <c r="BD41" s="105" t="str">
        <f>IF(ISBLANK(Term3_Day_8[[#This Row],[Activity]]),"",IF(_xlfn.XLOOKUP(Term3_Day_8[[#This Row],[Activity]],Types_of_Activity[Type of Activity],Types_of_Activity[Classification])=2,Term3_Day_8[[#This Row],[Elapsed]],0))</f>
        <v/>
      </c>
      <c r="BE41" s="106"/>
      <c r="BF41" s="135"/>
      <c r="BG41" s="135"/>
      <c r="BH41" s="102"/>
      <c r="BI41" s="105" t="str">
        <f>IF(OR(ISBLANK(Term3_Day_9[[#This Row],[Start]]),ISBLANK(Term3_Day_9[[#This Row],[End]])),"",(Term3_Day_9[[#This Row],[End]]-Term3_Day_9[[#This Row],[Start]])*1440)</f>
        <v/>
      </c>
      <c r="BJ41" s="105" t="str">
        <f>IF(ISBLANK(Term3_Day_9[[#This Row],[Activity]]),"",IF(_xlfn.XLOOKUP(Term3_Day_9[[#This Row],[Activity]],Types_of_Activity[Type of Activity],Types_of_Activity[Classification])=1,Term3_Day_9[[#This Row],[Elapsed]],0))</f>
        <v/>
      </c>
      <c r="BK41" s="105" t="str">
        <f>IF(ISBLANK(Term3_Day_9[[#This Row],[Activity]]),"",IF(_xlfn.XLOOKUP(Term3_Day_9[[#This Row],[Activity]],Types_of_Activity[Type of Activity],Types_of_Activity[Classification])=2,Term3_Day_9[[#This Row],[Elapsed]],0))</f>
        <v/>
      </c>
      <c r="BL41" s="106"/>
      <c r="BM41" s="135"/>
      <c r="BN41" s="135"/>
      <c r="BO41" s="102"/>
      <c r="BP41" s="105" t="str">
        <f>IF(OR(ISBLANK(Term3_Day_10[[#This Row],[Start]]),ISBLANK(Term3_Day_10[[#This Row],[End]])),"",(Term3_Day_10[[#This Row],[End]]-Term3_Day_10[[#This Row],[Start]])*1440)</f>
        <v/>
      </c>
      <c r="BQ41" s="105" t="str">
        <f>IF(ISBLANK(Term3_Day_10[[#This Row],[Activity]]),"",IF(_xlfn.XLOOKUP(Term3_Day_10[[#This Row],[Activity]],Types_of_Activity[Type of Activity],Types_of_Activity[Classification])=1,Term3_Day_10[[#This Row],[Elapsed]],0))</f>
        <v/>
      </c>
      <c r="BR41" s="105" t="str">
        <f>IF(ISBLANK(Term3_Day_10[[#This Row],[Activity]]),"",IF(_xlfn.XLOOKUP(Term3_Day_10[[#This Row],[Activity]],Types_of_Activity[Type of Activity],Types_of_Activity[Classification])=2,Term3_Day_10[[#This Row],[Elapsed]],0))</f>
        <v/>
      </c>
      <c r="BS41" s="106"/>
    </row>
    <row r="42" spans="2:71" x14ac:dyDescent="0.3">
      <c r="B42" s="135"/>
      <c r="C42" s="135"/>
      <c r="D42" s="102"/>
      <c r="E42" s="105" t="str">
        <f>IF(OR(ISBLANK(Term3_Day_1[[#This Row],[Start]]),ISBLANK(Term3_Day_1[[#This Row],[End]])),"",(Term3_Day_1[[#This Row],[End]]-Term3_Day_1[[#This Row],[Start]])*1440)</f>
        <v/>
      </c>
      <c r="F42" s="105" t="str">
        <f>IF(ISBLANK(Term3_Day_1[[#This Row],[Activity]]),"",IF(_xlfn.XLOOKUP(Term3_Day_1[[#This Row],[Activity]],Types_of_Activity[Type of Activity],Types_of_Activity[Classification])=1,Term3_Day_1[[#This Row],[Elapsed]],0))</f>
        <v/>
      </c>
      <c r="G42" s="105" t="str">
        <f>IF(ISBLANK(Term3_Day_1[[#This Row],[Activity]]),"",IF(_xlfn.XLOOKUP(Term3_Day_1[[#This Row],[Activity]],Types_of_Activity[Type of Activity],Types_of_Activity[Classification])=2,Term3_Day_1[[#This Row],[Elapsed]],0))</f>
        <v/>
      </c>
      <c r="I42" s="135"/>
      <c r="J42" s="135"/>
      <c r="K42" s="102"/>
      <c r="L42" s="105" t="str">
        <f>IF(OR(ISBLANK(Term3_Day_2[[#This Row],[Start]]),ISBLANK(Term3_Day_2[[#This Row],[End]])),"",(Term3_Day_2[[#This Row],[End]]-Term3_Day_2[[#This Row],[Start]])*1440)</f>
        <v/>
      </c>
      <c r="M42" s="105" t="str">
        <f>IF(ISBLANK(Term3_Day_2[[#This Row],[Activity]]),"",IF(_xlfn.XLOOKUP(Term3_Day_2[[#This Row],[Activity]],Types_of_Activity[Type of Activity],Types_of_Activity[Classification])=1,Term3_Day_2[[#This Row],[Elapsed]],0))</f>
        <v/>
      </c>
      <c r="N42" s="105" t="str">
        <f>IF(ISBLANK(Term3_Day_2[[#This Row],[Activity]]),"",IF(_xlfn.XLOOKUP(Term3_Day_2[[#This Row],[Activity]],Types_of_Activity[Type of Activity],Types_of_Activity[Classification])=2,Term3_Day_2[[#This Row],[Elapsed]],0))</f>
        <v/>
      </c>
      <c r="P42" s="135"/>
      <c r="Q42" s="135"/>
      <c r="R42" s="102"/>
      <c r="S42" s="105" t="str">
        <f>IF(OR(ISBLANK(Term3_Day_3[[#This Row],[Start]]),ISBLANK(Term3_Day_3[[#This Row],[End]])),"",(Term3_Day_3[[#This Row],[End]]-Term3_Day_3[[#This Row],[Start]])*1440)</f>
        <v/>
      </c>
      <c r="T42" s="105" t="str">
        <f>IF(ISBLANK(Term3_Day_3[[#This Row],[Activity]]),"",IF(_xlfn.XLOOKUP(Term3_Day_3[[#This Row],[Activity]],Types_of_Activity[Type of Activity],Types_of_Activity[Classification])=1,Term3_Day_3[[#This Row],[Elapsed]],0))</f>
        <v/>
      </c>
      <c r="U42" s="105" t="str">
        <f>IF(ISBLANK(Term3_Day_3[[#This Row],[Activity]]),"",IF(_xlfn.XLOOKUP(Term3_Day_3[[#This Row],[Activity]],Types_of_Activity[Type of Activity],Types_of_Activity[Classification])=2,Term3_Day_3[[#This Row],[Elapsed]],0))</f>
        <v/>
      </c>
      <c r="W42" s="135"/>
      <c r="X42" s="135"/>
      <c r="Y42" s="102"/>
      <c r="Z42" s="105" t="str">
        <f>IF(OR(ISBLANK(Term3_Day_4[[#This Row],[Start]]),ISBLANK(Term3_Day_4[[#This Row],[End]])),"",(Term3_Day_4[[#This Row],[End]]-Term3_Day_4[[#This Row],[Start]])*1440)</f>
        <v/>
      </c>
      <c r="AA42" s="105" t="str">
        <f>IF(ISBLANK(Term3_Day_4[[#This Row],[Activity]]),"",IF(_xlfn.XLOOKUP(Term3_Day_4[[#This Row],[Activity]],Types_of_Activity[Type of Activity],Types_of_Activity[Classification])=1,Term3_Day_4[[#This Row],[Elapsed]],0))</f>
        <v/>
      </c>
      <c r="AB42" s="105" t="str">
        <f>IF(ISBLANK(Term3_Day_4[[#This Row],[Activity]]),"",IF(_xlfn.XLOOKUP(Term3_Day_4[[#This Row],[Activity]],Types_of_Activity[Type of Activity],Types_of_Activity[Classification])=2,Term3_Day_4[[#This Row],[Elapsed]],0))</f>
        <v/>
      </c>
      <c r="AD42" s="135"/>
      <c r="AE42" s="135"/>
      <c r="AF42" s="102"/>
      <c r="AG42" s="105" t="str">
        <f>IF(OR(ISBLANK(Term3_Day_5[[#This Row],[Start]]),ISBLANK(Term3_Day_5[[#This Row],[End]])),"",(Term3_Day_5[[#This Row],[End]]-Term3_Day_5[[#This Row],[Start]])*1440)</f>
        <v/>
      </c>
      <c r="AH42" s="105" t="str">
        <f>IF(ISBLANK(Term3_Day_5[[#This Row],[Activity]]),"",IF(_xlfn.XLOOKUP(Term3_Day_5[[#This Row],[Activity]],Types_of_Activity[Type of Activity],Types_of_Activity[Classification])=1,Term3_Day_5[[#This Row],[Elapsed]],0))</f>
        <v/>
      </c>
      <c r="AI42" s="105" t="str">
        <f>IF(ISBLANK(Term3_Day_5[[#This Row],[Activity]]),"",IF(_xlfn.XLOOKUP(Term3_Day_5[[#This Row],[Activity]],Types_of_Activity[Type of Activity],Types_of_Activity[Classification])=2,Term3_Day_5[[#This Row],[Elapsed]],0))</f>
        <v/>
      </c>
      <c r="AJ42" s="106"/>
      <c r="AK42" s="135"/>
      <c r="AL42" s="135"/>
      <c r="AM42" s="102"/>
      <c r="AN42" s="105" t="str">
        <f>IF(OR(ISBLANK(Term3_Day_6[[#This Row],[Start]]),ISBLANK(Term3_Day_6[[#This Row],[End]])),"",(Term3_Day_6[[#This Row],[End]]-Term3_Day_6[[#This Row],[Start]])*1440)</f>
        <v/>
      </c>
      <c r="AO42" s="105" t="str">
        <f>IF(ISBLANK(Term3_Day_6[[#This Row],[Activity]]),"",IF(_xlfn.XLOOKUP(Term3_Day_6[[#This Row],[Activity]],Types_of_Activity[Type of Activity],Types_of_Activity[Classification])=1,Term3_Day_6[[#This Row],[Elapsed]],0))</f>
        <v/>
      </c>
      <c r="AP42" s="105" t="str">
        <f>IF(ISBLANK(Term3_Day_6[[#This Row],[Activity]]),"",IF(_xlfn.XLOOKUP(Term3_Day_6[[#This Row],[Activity]],Types_of_Activity[Type of Activity],Types_of_Activity[Classification])=2,Term3_Day_6[[#This Row],[Elapsed]],0))</f>
        <v/>
      </c>
      <c r="AQ42" s="106"/>
      <c r="AR42" s="135"/>
      <c r="AS42" s="135"/>
      <c r="AT42" s="102"/>
      <c r="AU42" s="105" t="str">
        <f>IF(OR(ISBLANK(Term3_Day_7[[#This Row],[Start]]),ISBLANK(Term3_Day_7[[#This Row],[End]])),"",(Term3_Day_7[[#This Row],[End]]-Term3_Day_7[[#This Row],[Start]])*1440)</f>
        <v/>
      </c>
      <c r="AV42" s="105" t="str">
        <f>IF(ISBLANK(Term3_Day_7[[#This Row],[Activity]]),"",IF(_xlfn.XLOOKUP(Term3_Day_7[[#This Row],[Activity]],Types_of_Activity[Type of Activity],Types_of_Activity[Classification])=1,Term3_Day_7[[#This Row],[Elapsed]],0))</f>
        <v/>
      </c>
      <c r="AW42" s="105" t="str">
        <f>IF(ISBLANK(Term3_Day_7[[#This Row],[Activity]]),"",IF(_xlfn.XLOOKUP(Term3_Day_7[[#This Row],[Activity]],Types_of_Activity[Type of Activity],Types_of_Activity[Classification])=2,Term3_Day_7[[#This Row],[Elapsed]],0))</f>
        <v/>
      </c>
      <c r="AX42" s="106"/>
      <c r="AY42" s="135"/>
      <c r="AZ42" s="135"/>
      <c r="BA42" s="102"/>
      <c r="BB42" s="105" t="str">
        <f>IF(OR(ISBLANK(Term3_Day_8[[#This Row],[Start]]),ISBLANK(Term3_Day_8[[#This Row],[End]])),"",(Term3_Day_8[[#This Row],[End]]-Term3_Day_8[[#This Row],[Start]])*1440)</f>
        <v/>
      </c>
      <c r="BC42" s="105" t="str">
        <f>IF(ISBLANK(Term3_Day_8[[#This Row],[Activity]]),"",IF(_xlfn.XLOOKUP(Term3_Day_8[[#This Row],[Activity]],Types_of_Activity[Type of Activity],Types_of_Activity[Classification])=1,Term3_Day_8[[#This Row],[Elapsed]],0))</f>
        <v/>
      </c>
      <c r="BD42" s="105" t="str">
        <f>IF(ISBLANK(Term3_Day_8[[#This Row],[Activity]]),"",IF(_xlfn.XLOOKUP(Term3_Day_8[[#This Row],[Activity]],Types_of_Activity[Type of Activity],Types_of_Activity[Classification])=2,Term3_Day_8[[#This Row],[Elapsed]],0))</f>
        <v/>
      </c>
      <c r="BE42" s="106"/>
      <c r="BF42" s="135"/>
      <c r="BG42" s="135"/>
      <c r="BH42" s="102"/>
      <c r="BI42" s="105" t="str">
        <f>IF(OR(ISBLANK(Term3_Day_9[[#This Row],[Start]]),ISBLANK(Term3_Day_9[[#This Row],[End]])),"",(Term3_Day_9[[#This Row],[End]]-Term3_Day_9[[#This Row],[Start]])*1440)</f>
        <v/>
      </c>
      <c r="BJ42" s="105" t="str">
        <f>IF(ISBLANK(Term3_Day_9[[#This Row],[Activity]]),"",IF(_xlfn.XLOOKUP(Term3_Day_9[[#This Row],[Activity]],Types_of_Activity[Type of Activity],Types_of_Activity[Classification])=1,Term3_Day_9[[#This Row],[Elapsed]],0))</f>
        <v/>
      </c>
      <c r="BK42" s="105" t="str">
        <f>IF(ISBLANK(Term3_Day_9[[#This Row],[Activity]]),"",IF(_xlfn.XLOOKUP(Term3_Day_9[[#This Row],[Activity]],Types_of_Activity[Type of Activity],Types_of_Activity[Classification])=2,Term3_Day_9[[#This Row],[Elapsed]],0))</f>
        <v/>
      </c>
      <c r="BL42" s="106"/>
      <c r="BM42" s="135"/>
      <c r="BN42" s="135"/>
      <c r="BO42" s="102"/>
      <c r="BP42" s="105" t="str">
        <f>IF(OR(ISBLANK(Term3_Day_10[[#This Row],[Start]]),ISBLANK(Term3_Day_10[[#This Row],[End]])),"",(Term3_Day_10[[#This Row],[End]]-Term3_Day_10[[#This Row],[Start]])*1440)</f>
        <v/>
      </c>
      <c r="BQ42" s="105" t="str">
        <f>IF(ISBLANK(Term3_Day_10[[#This Row],[Activity]]),"",IF(_xlfn.XLOOKUP(Term3_Day_10[[#This Row],[Activity]],Types_of_Activity[Type of Activity],Types_of_Activity[Classification])=1,Term3_Day_10[[#This Row],[Elapsed]],0))</f>
        <v/>
      </c>
      <c r="BR42" s="105" t="str">
        <f>IF(ISBLANK(Term3_Day_10[[#This Row],[Activity]]),"",IF(_xlfn.XLOOKUP(Term3_Day_10[[#This Row],[Activity]],Types_of_Activity[Type of Activity],Types_of_Activity[Classification])=2,Term3_Day_10[[#This Row],[Elapsed]],0))</f>
        <v/>
      </c>
      <c r="BS42" s="106"/>
    </row>
    <row r="43" spans="2:71" x14ac:dyDescent="0.3">
      <c r="B43" s="135"/>
      <c r="C43" s="135"/>
      <c r="D43" s="102"/>
      <c r="E43" s="105" t="str">
        <f>IF(OR(ISBLANK(Term3_Day_1[[#This Row],[Start]]),ISBLANK(Term3_Day_1[[#This Row],[End]])),"",(Term3_Day_1[[#This Row],[End]]-Term3_Day_1[[#This Row],[Start]])*1440)</f>
        <v/>
      </c>
      <c r="F43" s="105" t="str">
        <f>IF(ISBLANK(Term3_Day_1[[#This Row],[Activity]]),"",IF(_xlfn.XLOOKUP(Term3_Day_1[[#This Row],[Activity]],Types_of_Activity[Type of Activity],Types_of_Activity[Classification])=1,Term3_Day_1[[#This Row],[Elapsed]],0))</f>
        <v/>
      </c>
      <c r="G43" s="105" t="str">
        <f>IF(ISBLANK(Term3_Day_1[[#This Row],[Activity]]),"",IF(_xlfn.XLOOKUP(Term3_Day_1[[#This Row],[Activity]],Types_of_Activity[Type of Activity],Types_of_Activity[Classification])=2,Term3_Day_1[[#This Row],[Elapsed]],0))</f>
        <v/>
      </c>
      <c r="I43" s="135"/>
      <c r="J43" s="135"/>
      <c r="K43" s="102"/>
      <c r="L43" s="105" t="str">
        <f>IF(OR(ISBLANK(Term3_Day_2[[#This Row],[Start]]),ISBLANK(Term3_Day_2[[#This Row],[End]])),"",(Term3_Day_2[[#This Row],[End]]-Term3_Day_2[[#This Row],[Start]])*1440)</f>
        <v/>
      </c>
      <c r="M43" s="105" t="str">
        <f>IF(ISBLANK(Term3_Day_2[[#This Row],[Activity]]),"",IF(_xlfn.XLOOKUP(Term3_Day_2[[#This Row],[Activity]],Types_of_Activity[Type of Activity],Types_of_Activity[Classification])=1,Term3_Day_2[[#This Row],[Elapsed]],0))</f>
        <v/>
      </c>
      <c r="N43" s="105" t="str">
        <f>IF(ISBLANK(Term3_Day_2[[#This Row],[Activity]]),"",IF(_xlfn.XLOOKUP(Term3_Day_2[[#This Row],[Activity]],Types_of_Activity[Type of Activity],Types_of_Activity[Classification])=2,Term3_Day_2[[#This Row],[Elapsed]],0))</f>
        <v/>
      </c>
      <c r="P43" s="135"/>
      <c r="Q43" s="135"/>
      <c r="R43" s="102"/>
      <c r="S43" s="105" t="str">
        <f>IF(OR(ISBLANK(Term3_Day_3[[#This Row],[Start]]),ISBLANK(Term3_Day_3[[#This Row],[End]])),"",(Term3_Day_3[[#This Row],[End]]-Term3_Day_3[[#This Row],[Start]])*1440)</f>
        <v/>
      </c>
      <c r="T43" s="105" t="str">
        <f>IF(ISBLANK(Term3_Day_3[[#This Row],[Activity]]),"",IF(_xlfn.XLOOKUP(Term3_Day_3[[#This Row],[Activity]],Types_of_Activity[Type of Activity],Types_of_Activity[Classification])=1,Term3_Day_3[[#This Row],[Elapsed]],0))</f>
        <v/>
      </c>
      <c r="U43" s="105" t="str">
        <f>IF(ISBLANK(Term3_Day_3[[#This Row],[Activity]]),"",IF(_xlfn.XLOOKUP(Term3_Day_3[[#This Row],[Activity]],Types_of_Activity[Type of Activity],Types_of_Activity[Classification])=2,Term3_Day_3[[#This Row],[Elapsed]],0))</f>
        <v/>
      </c>
      <c r="W43" s="135"/>
      <c r="X43" s="135"/>
      <c r="Y43" s="102"/>
      <c r="Z43" s="105" t="str">
        <f>IF(OR(ISBLANK(Term3_Day_4[[#This Row],[Start]]),ISBLANK(Term3_Day_4[[#This Row],[End]])),"",(Term3_Day_4[[#This Row],[End]]-Term3_Day_4[[#This Row],[Start]])*1440)</f>
        <v/>
      </c>
      <c r="AA43" s="105" t="str">
        <f>IF(ISBLANK(Term3_Day_4[[#This Row],[Activity]]),"",IF(_xlfn.XLOOKUP(Term3_Day_4[[#This Row],[Activity]],Types_of_Activity[Type of Activity],Types_of_Activity[Classification])=1,Term3_Day_4[[#This Row],[Elapsed]],0))</f>
        <v/>
      </c>
      <c r="AB43" s="105" t="str">
        <f>IF(ISBLANK(Term3_Day_4[[#This Row],[Activity]]),"",IF(_xlfn.XLOOKUP(Term3_Day_4[[#This Row],[Activity]],Types_of_Activity[Type of Activity],Types_of_Activity[Classification])=2,Term3_Day_4[[#This Row],[Elapsed]],0))</f>
        <v/>
      </c>
      <c r="AD43" s="135"/>
      <c r="AE43" s="135"/>
      <c r="AF43" s="102"/>
      <c r="AG43" s="105" t="str">
        <f>IF(OR(ISBLANK(Term3_Day_5[[#This Row],[Start]]),ISBLANK(Term3_Day_5[[#This Row],[End]])),"",(Term3_Day_5[[#This Row],[End]]-Term3_Day_5[[#This Row],[Start]])*1440)</f>
        <v/>
      </c>
      <c r="AH43" s="105" t="str">
        <f>IF(ISBLANK(Term3_Day_5[[#This Row],[Activity]]),"",IF(_xlfn.XLOOKUP(Term3_Day_5[[#This Row],[Activity]],Types_of_Activity[Type of Activity],Types_of_Activity[Classification])=1,Term3_Day_5[[#This Row],[Elapsed]],0))</f>
        <v/>
      </c>
      <c r="AI43" s="105" t="str">
        <f>IF(ISBLANK(Term3_Day_5[[#This Row],[Activity]]),"",IF(_xlfn.XLOOKUP(Term3_Day_5[[#This Row],[Activity]],Types_of_Activity[Type of Activity],Types_of_Activity[Classification])=2,Term3_Day_5[[#This Row],[Elapsed]],0))</f>
        <v/>
      </c>
      <c r="AJ43" s="106"/>
      <c r="AK43" s="135"/>
      <c r="AL43" s="135"/>
      <c r="AM43" s="102"/>
      <c r="AN43" s="105" t="str">
        <f>IF(OR(ISBLANK(Term3_Day_6[[#This Row],[Start]]),ISBLANK(Term3_Day_6[[#This Row],[End]])),"",(Term3_Day_6[[#This Row],[End]]-Term3_Day_6[[#This Row],[Start]])*1440)</f>
        <v/>
      </c>
      <c r="AO43" s="105" t="str">
        <f>IF(ISBLANK(Term3_Day_6[[#This Row],[Activity]]),"",IF(_xlfn.XLOOKUP(Term3_Day_6[[#This Row],[Activity]],Types_of_Activity[Type of Activity],Types_of_Activity[Classification])=1,Term3_Day_6[[#This Row],[Elapsed]],0))</f>
        <v/>
      </c>
      <c r="AP43" s="105" t="str">
        <f>IF(ISBLANK(Term3_Day_6[[#This Row],[Activity]]),"",IF(_xlfn.XLOOKUP(Term3_Day_6[[#This Row],[Activity]],Types_of_Activity[Type of Activity],Types_of_Activity[Classification])=2,Term3_Day_6[[#This Row],[Elapsed]],0))</f>
        <v/>
      </c>
      <c r="AQ43" s="106"/>
      <c r="AR43" s="135"/>
      <c r="AS43" s="135"/>
      <c r="AT43" s="102"/>
      <c r="AU43" s="105" t="str">
        <f>IF(OR(ISBLANK(Term3_Day_7[[#This Row],[Start]]),ISBLANK(Term3_Day_7[[#This Row],[End]])),"",(Term3_Day_7[[#This Row],[End]]-Term3_Day_7[[#This Row],[Start]])*1440)</f>
        <v/>
      </c>
      <c r="AV43" s="105" t="str">
        <f>IF(ISBLANK(Term3_Day_7[[#This Row],[Activity]]),"",IF(_xlfn.XLOOKUP(Term3_Day_7[[#This Row],[Activity]],Types_of_Activity[Type of Activity],Types_of_Activity[Classification])=1,Term3_Day_7[[#This Row],[Elapsed]],0))</f>
        <v/>
      </c>
      <c r="AW43" s="105" t="str">
        <f>IF(ISBLANK(Term3_Day_7[[#This Row],[Activity]]),"",IF(_xlfn.XLOOKUP(Term3_Day_7[[#This Row],[Activity]],Types_of_Activity[Type of Activity],Types_of_Activity[Classification])=2,Term3_Day_7[[#This Row],[Elapsed]],0))</f>
        <v/>
      </c>
      <c r="AX43" s="106"/>
      <c r="AY43" s="135"/>
      <c r="AZ43" s="135"/>
      <c r="BA43" s="102"/>
      <c r="BB43" s="105" t="str">
        <f>IF(OR(ISBLANK(Term3_Day_8[[#This Row],[Start]]),ISBLANK(Term3_Day_8[[#This Row],[End]])),"",(Term3_Day_8[[#This Row],[End]]-Term3_Day_8[[#This Row],[Start]])*1440)</f>
        <v/>
      </c>
      <c r="BC43" s="105" t="str">
        <f>IF(ISBLANK(Term3_Day_8[[#This Row],[Activity]]),"",IF(_xlfn.XLOOKUP(Term3_Day_8[[#This Row],[Activity]],Types_of_Activity[Type of Activity],Types_of_Activity[Classification])=1,Term3_Day_8[[#This Row],[Elapsed]],0))</f>
        <v/>
      </c>
      <c r="BD43" s="105" t="str">
        <f>IF(ISBLANK(Term3_Day_8[[#This Row],[Activity]]),"",IF(_xlfn.XLOOKUP(Term3_Day_8[[#This Row],[Activity]],Types_of_Activity[Type of Activity],Types_of_Activity[Classification])=2,Term3_Day_8[[#This Row],[Elapsed]],0))</f>
        <v/>
      </c>
      <c r="BE43" s="106"/>
      <c r="BF43" s="135"/>
      <c r="BG43" s="135"/>
      <c r="BH43" s="102"/>
      <c r="BI43" s="105" t="str">
        <f>IF(OR(ISBLANK(Term3_Day_9[[#This Row],[Start]]),ISBLANK(Term3_Day_9[[#This Row],[End]])),"",(Term3_Day_9[[#This Row],[End]]-Term3_Day_9[[#This Row],[Start]])*1440)</f>
        <v/>
      </c>
      <c r="BJ43" s="105" t="str">
        <f>IF(ISBLANK(Term3_Day_9[[#This Row],[Activity]]),"",IF(_xlfn.XLOOKUP(Term3_Day_9[[#This Row],[Activity]],Types_of_Activity[Type of Activity],Types_of_Activity[Classification])=1,Term3_Day_9[[#This Row],[Elapsed]],0))</f>
        <v/>
      </c>
      <c r="BK43" s="105" t="str">
        <f>IF(ISBLANK(Term3_Day_9[[#This Row],[Activity]]),"",IF(_xlfn.XLOOKUP(Term3_Day_9[[#This Row],[Activity]],Types_of_Activity[Type of Activity],Types_of_Activity[Classification])=2,Term3_Day_9[[#This Row],[Elapsed]],0))</f>
        <v/>
      </c>
      <c r="BL43" s="106"/>
      <c r="BM43" s="135"/>
      <c r="BN43" s="135"/>
      <c r="BO43" s="102"/>
      <c r="BP43" s="105" t="str">
        <f>IF(OR(ISBLANK(Term3_Day_10[[#This Row],[Start]]),ISBLANK(Term3_Day_10[[#This Row],[End]])),"",(Term3_Day_10[[#This Row],[End]]-Term3_Day_10[[#This Row],[Start]])*1440)</f>
        <v/>
      </c>
      <c r="BQ43" s="105" t="str">
        <f>IF(ISBLANK(Term3_Day_10[[#This Row],[Activity]]),"",IF(_xlfn.XLOOKUP(Term3_Day_10[[#This Row],[Activity]],Types_of_Activity[Type of Activity],Types_of_Activity[Classification])=1,Term3_Day_10[[#This Row],[Elapsed]],0))</f>
        <v/>
      </c>
      <c r="BR43" s="105" t="str">
        <f>IF(ISBLANK(Term3_Day_10[[#This Row],[Activity]]),"",IF(_xlfn.XLOOKUP(Term3_Day_10[[#This Row],[Activity]],Types_of_Activity[Type of Activity],Types_of_Activity[Classification])=2,Term3_Day_10[[#This Row],[Elapsed]],0))</f>
        <v/>
      </c>
      <c r="BS43" s="106"/>
    </row>
    <row r="44" spans="2:71" x14ac:dyDescent="0.3">
      <c r="B44" s="135"/>
      <c r="C44" s="135"/>
      <c r="D44" s="102"/>
      <c r="E44" s="105" t="str">
        <f>IF(OR(ISBLANK(Term3_Day_1[[#This Row],[Start]]),ISBLANK(Term3_Day_1[[#This Row],[End]])),"",(Term3_Day_1[[#This Row],[End]]-Term3_Day_1[[#This Row],[Start]])*1440)</f>
        <v/>
      </c>
      <c r="F44" s="105" t="str">
        <f>IF(ISBLANK(Term3_Day_1[[#This Row],[Activity]]),"",IF(_xlfn.XLOOKUP(Term3_Day_1[[#This Row],[Activity]],Types_of_Activity[Type of Activity],Types_of_Activity[Classification])=1,Term3_Day_1[[#This Row],[Elapsed]],0))</f>
        <v/>
      </c>
      <c r="G44" s="105" t="str">
        <f>IF(ISBLANK(Term3_Day_1[[#This Row],[Activity]]),"",IF(_xlfn.XLOOKUP(Term3_Day_1[[#This Row],[Activity]],Types_of_Activity[Type of Activity],Types_of_Activity[Classification])=2,Term3_Day_1[[#This Row],[Elapsed]],0))</f>
        <v/>
      </c>
      <c r="I44" s="135"/>
      <c r="J44" s="135"/>
      <c r="K44" s="102"/>
      <c r="L44" s="105" t="str">
        <f>IF(OR(ISBLANK(Term3_Day_2[[#This Row],[Start]]),ISBLANK(Term3_Day_2[[#This Row],[End]])),"",(Term3_Day_2[[#This Row],[End]]-Term3_Day_2[[#This Row],[Start]])*1440)</f>
        <v/>
      </c>
      <c r="M44" s="105" t="str">
        <f>IF(ISBLANK(Term3_Day_2[[#This Row],[Activity]]),"",IF(_xlfn.XLOOKUP(Term3_Day_2[[#This Row],[Activity]],Types_of_Activity[Type of Activity],Types_of_Activity[Classification])=1,Term3_Day_2[[#This Row],[Elapsed]],0))</f>
        <v/>
      </c>
      <c r="N44" s="105" t="str">
        <f>IF(ISBLANK(Term3_Day_2[[#This Row],[Activity]]),"",IF(_xlfn.XLOOKUP(Term3_Day_2[[#This Row],[Activity]],Types_of_Activity[Type of Activity],Types_of_Activity[Classification])=2,Term3_Day_2[[#This Row],[Elapsed]],0))</f>
        <v/>
      </c>
      <c r="P44" s="135"/>
      <c r="Q44" s="135"/>
      <c r="R44" s="102"/>
      <c r="S44" s="105" t="str">
        <f>IF(OR(ISBLANK(Term3_Day_3[[#This Row],[Start]]),ISBLANK(Term3_Day_3[[#This Row],[End]])),"",(Term3_Day_3[[#This Row],[End]]-Term3_Day_3[[#This Row],[Start]])*1440)</f>
        <v/>
      </c>
      <c r="T44" s="105" t="str">
        <f>IF(ISBLANK(Term3_Day_3[[#This Row],[Activity]]),"",IF(_xlfn.XLOOKUP(Term3_Day_3[[#This Row],[Activity]],Types_of_Activity[Type of Activity],Types_of_Activity[Classification])=1,Term3_Day_3[[#This Row],[Elapsed]],0))</f>
        <v/>
      </c>
      <c r="U44" s="105" t="str">
        <f>IF(ISBLANK(Term3_Day_3[[#This Row],[Activity]]),"",IF(_xlfn.XLOOKUP(Term3_Day_3[[#This Row],[Activity]],Types_of_Activity[Type of Activity],Types_of_Activity[Classification])=2,Term3_Day_3[[#This Row],[Elapsed]],0))</f>
        <v/>
      </c>
      <c r="W44" s="135"/>
      <c r="X44" s="135"/>
      <c r="Y44" s="102"/>
      <c r="Z44" s="105" t="str">
        <f>IF(OR(ISBLANK(Term3_Day_4[[#This Row],[Start]]),ISBLANK(Term3_Day_4[[#This Row],[End]])),"",(Term3_Day_4[[#This Row],[End]]-Term3_Day_4[[#This Row],[Start]])*1440)</f>
        <v/>
      </c>
      <c r="AA44" s="105" t="str">
        <f>IF(ISBLANK(Term3_Day_4[[#This Row],[Activity]]),"",IF(_xlfn.XLOOKUP(Term3_Day_4[[#This Row],[Activity]],Types_of_Activity[Type of Activity],Types_of_Activity[Classification])=1,Term3_Day_4[[#This Row],[Elapsed]],0))</f>
        <v/>
      </c>
      <c r="AB44" s="105" t="str">
        <f>IF(ISBLANK(Term3_Day_4[[#This Row],[Activity]]),"",IF(_xlfn.XLOOKUP(Term3_Day_4[[#This Row],[Activity]],Types_of_Activity[Type of Activity],Types_of_Activity[Classification])=2,Term3_Day_4[[#This Row],[Elapsed]],0))</f>
        <v/>
      </c>
      <c r="AD44" s="135"/>
      <c r="AE44" s="135"/>
      <c r="AF44" s="102"/>
      <c r="AG44" s="105" t="str">
        <f>IF(OR(ISBLANK(Term3_Day_5[[#This Row],[Start]]),ISBLANK(Term3_Day_5[[#This Row],[End]])),"",(Term3_Day_5[[#This Row],[End]]-Term3_Day_5[[#This Row],[Start]])*1440)</f>
        <v/>
      </c>
      <c r="AH44" s="105" t="str">
        <f>IF(ISBLANK(Term3_Day_5[[#This Row],[Activity]]),"",IF(_xlfn.XLOOKUP(Term3_Day_5[[#This Row],[Activity]],Types_of_Activity[Type of Activity],Types_of_Activity[Classification])=1,Term3_Day_5[[#This Row],[Elapsed]],0))</f>
        <v/>
      </c>
      <c r="AI44" s="105" t="str">
        <f>IF(ISBLANK(Term3_Day_5[[#This Row],[Activity]]),"",IF(_xlfn.XLOOKUP(Term3_Day_5[[#This Row],[Activity]],Types_of_Activity[Type of Activity],Types_of_Activity[Classification])=2,Term3_Day_5[[#This Row],[Elapsed]],0))</f>
        <v/>
      </c>
      <c r="AJ44" s="106"/>
      <c r="AK44" s="135"/>
      <c r="AL44" s="135"/>
      <c r="AM44" s="102"/>
      <c r="AN44" s="105" t="str">
        <f>IF(OR(ISBLANK(Term3_Day_6[[#This Row],[Start]]),ISBLANK(Term3_Day_6[[#This Row],[End]])),"",(Term3_Day_6[[#This Row],[End]]-Term3_Day_6[[#This Row],[Start]])*1440)</f>
        <v/>
      </c>
      <c r="AO44" s="105" t="str">
        <f>IF(ISBLANK(Term3_Day_6[[#This Row],[Activity]]),"",IF(_xlfn.XLOOKUP(Term3_Day_6[[#This Row],[Activity]],Types_of_Activity[Type of Activity],Types_of_Activity[Classification])=1,Term3_Day_6[[#This Row],[Elapsed]],0))</f>
        <v/>
      </c>
      <c r="AP44" s="105" t="str">
        <f>IF(ISBLANK(Term3_Day_6[[#This Row],[Activity]]),"",IF(_xlfn.XLOOKUP(Term3_Day_6[[#This Row],[Activity]],Types_of_Activity[Type of Activity],Types_of_Activity[Classification])=2,Term3_Day_6[[#This Row],[Elapsed]],0))</f>
        <v/>
      </c>
      <c r="AQ44" s="106"/>
      <c r="AR44" s="135"/>
      <c r="AS44" s="135"/>
      <c r="AT44" s="102"/>
      <c r="AU44" s="105" t="str">
        <f>IF(OR(ISBLANK(Term3_Day_7[[#This Row],[Start]]),ISBLANK(Term3_Day_7[[#This Row],[End]])),"",(Term3_Day_7[[#This Row],[End]]-Term3_Day_7[[#This Row],[Start]])*1440)</f>
        <v/>
      </c>
      <c r="AV44" s="105" t="str">
        <f>IF(ISBLANK(Term3_Day_7[[#This Row],[Activity]]),"",IF(_xlfn.XLOOKUP(Term3_Day_7[[#This Row],[Activity]],Types_of_Activity[Type of Activity],Types_of_Activity[Classification])=1,Term3_Day_7[[#This Row],[Elapsed]],0))</f>
        <v/>
      </c>
      <c r="AW44" s="105" t="str">
        <f>IF(ISBLANK(Term3_Day_7[[#This Row],[Activity]]),"",IF(_xlfn.XLOOKUP(Term3_Day_7[[#This Row],[Activity]],Types_of_Activity[Type of Activity],Types_of_Activity[Classification])=2,Term3_Day_7[[#This Row],[Elapsed]],0))</f>
        <v/>
      </c>
      <c r="AX44" s="106"/>
      <c r="AY44" s="135"/>
      <c r="AZ44" s="135"/>
      <c r="BA44" s="102"/>
      <c r="BB44" s="105" t="str">
        <f>IF(OR(ISBLANK(Term3_Day_8[[#This Row],[Start]]),ISBLANK(Term3_Day_8[[#This Row],[End]])),"",(Term3_Day_8[[#This Row],[End]]-Term3_Day_8[[#This Row],[Start]])*1440)</f>
        <v/>
      </c>
      <c r="BC44" s="105" t="str">
        <f>IF(ISBLANK(Term3_Day_8[[#This Row],[Activity]]),"",IF(_xlfn.XLOOKUP(Term3_Day_8[[#This Row],[Activity]],Types_of_Activity[Type of Activity],Types_of_Activity[Classification])=1,Term3_Day_8[[#This Row],[Elapsed]],0))</f>
        <v/>
      </c>
      <c r="BD44" s="105" t="str">
        <f>IF(ISBLANK(Term3_Day_8[[#This Row],[Activity]]),"",IF(_xlfn.XLOOKUP(Term3_Day_8[[#This Row],[Activity]],Types_of_Activity[Type of Activity],Types_of_Activity[Classification])=2,Term3_Day_8[[#This Row],[Elapsed]],0))</f>
        <v/>
      </c>
      <c r="BE44" s="106"/>
      <c r="BF44" s="135"/>
      <c r="BG44" s="135"/>
      <c r="BH44" s="102"/>
      <c r="BI44" s="105" t="str">
        <f>IF(OR(ISBLANK(Term3_Day_9[[#This Row],[Start]]),ISBLANK(Term3_Day_9[[#This Row],[End]])),"",(Term3_Day_9[[#This Row],[End]]-Term3_Day_9[[#This Row],[Start]])*1440)</f>
        <v/>
      </c>
      <c r="BJ44" s="105" t="str">
        <f>IF(ISBLANK(Term3_Day_9[[#This Row],[Activity]]),"",IF(_xlfn.XLOOKUP(Term3_Day_9[[#This Row],[Activity]],Types_of_Activity[Type of Activity],Types_of_Activity[Classification])=1,Term3_Day_9[[#This Row],[Elapsed]],0))</f>
        <v/>
      </c>
      <c r="BK44" s="105" t="str">
        <f>IF(ISBLANK(Term3_Day_9[[#This Row],[Activity]]),"",IF(_xlfn.XLOOKUP(Term3_Day_9[[#This Row],[Activity]],Types_of_Activity[Type of Activity],Types_of_Activity[Classification])=2,Term3_Day_9[[#This Row],[Elapsed]],0))</f>
        <v/>
      </c>
      <c r="BL44" s="106"/>
      <c r="BM44" s="135"/>
      <c r="BN44" s="135"/>
      <c r="BO44" s="102"/>
      <c r="BP44" s="105" t="str">
        <f>IF(OR(ISBLANK(Term3_Day_10[[#This Row],[Start]]),ISBLANK(Term3_Day_10[[#This Row],[End]])),"",(Term3_Day_10[[#This Row],[End]]-Term3_Day_10[[#This Row],[Start]])*1440)</f>
        <v/>
      </c>
      <c r="BQ44" s="105" t="str">
        <f>IF(ISBLANK(Term3_Day_10[[#This Row],[Activity]]),"",IF(_xlfn.XLOOKUP(Term3_Day_10[[#This Row],[Activity]],Types_of_Activity[Type of Activity],Types_of_Activity[Classification])=1,Term3_Day_10[[#This Row],[Elapsed]],0))</f>
        <v/>
      </c>
      <c r="BR44" s="105" t="str">
        <f>IF(ISBLANK(Term3_Day_10[[#This Row],[Activity]]),"",IF(_xlfn.XLOOKUP(Term3_Day_10[[#This Row],[Activity]],Types_of_Activity[Type of Activity],Types_of_Activity[Classification])=2,Term3_Day_10[[#This Row],[Elapsed]],0))</f>
        <v/>
      </c>
      <c r="BS44" s="106"/>
    </row>
    <row r="45" spans="2:71" x14ac:dyDescent="0.3">
      <c r="B45" s="135"/>
      <c r="C45" s="135"/>
      <c r="D45" s="102"/>
      <c r="E45" s="105" t="str">
        <f>IF(OR(ISBLANK(Term3_Day_1[[#This Row],[Start]]),ISBLANK(Term3_Day_1[[#This Row],[End]])),"",(Term3_Day_1[[#This Row],[End]]-Term3_Day_1[[#This Row],[Start]])*1440)</f>
        <v/>
      </c>
      <c r="F45" s="105" t="str">
        <f>IF(ISBLANK(Term3_Day_1[[#This Row],[Activity]]),"",IF(_xlfn.XLOOKUP(Term3_Day_1[[#This Row],[Activity]],Types_of_Activity[Type of Activity],Types_of_Activity[Classification])=1,Term3_Day_1[[#This Row],[Elapsed]],0))</f>
        <v/>
      </c>
      <c r="G45" s="105" t="str">
        <f>IF(ISBLANK(Term3_Day_1[[#This Row],[Activity]]),"",IF(_xlfn.XLOOKUP(Term3_Day_1[[#This Row],[Activity]],Types_of_Activity[Type of Activity],Types_of_Activity[Classification])=2,Term3_Day_1[[#This Row],[Elapsed]],0))</f>
        <v/>
      </c>
      <c r="I45" s="135"/>
      <c r="J45" s="135"/>
      <c r="K45" s="102"/>
      <c r="L45" s="105" t="str">
        <f>IF(OR(ISBLANK(Term3_Day_2[[#This Row],[Start]]),ISBLANK(Term3_Day_2[[#This Row],[End]])),"",(Term3_Day_2[[#This Row],[End]]-Term3_Day_2[[#This Row],[Start]])*1440)</f>
        <v/>
      </c>
      <c r="M45" s="105" t="str">
        <f>IF(ISBLANK(Term3_Day_2[[#This Row],[Activity]]),"",IF(_xlfn.XLOOKUP(Term3_Day_2[[#This Row],[Activity]],Types_of_Activity[Type of Activity],Types_of_Activity[Classification])=1,Term3_Day_2[[#This Row],[Elapsed]],0))</f>
        <v/>
      </c>
      <c r="N45" s="105" t="str">
        <f>IF(ISBLANK(Term3_Day_2[[#This Row],[Activity]]),"",IF(_xlfn.XLOOKUP(Term3_Day_2[[#This Row],[Activity]],Types_of_Activity[Type of Activity],Types_of_Activity[Classification])=2,Term3_Day_2[[#This Row],[Elapsed]],0))</f>
        <v/>
      </c>
      <c r="P45" s="135"/>
      <c r="Q45" s="135"/>
      <c r="R45" s="102"/>
      <c r="S45" s="105" t="str">
        <f>IF(OR(ISBLANK(Term3_Day_3[[#This Row],[Start]]),ISBLANK(Term3_Day_3[[#This Row],[End]])),"",(Term3_Day_3[[#This Row],[End]]-Term3_Day_3[[#This Row],[Start]])*1440)</f>
        <v/>
      </c>
      <c r="T45" s="105" t="str">
        <f>IF(ISBLANK(Term3_Day_3[[#This Row],[Activity]]),"",IF(_xlfn.XLOOKUP(Term3_Day_3[[#This Row],[Activity]],Types_of_Activity[Type of Activity],Types_of_Activity[Classification])=1,Term3_Day_3[[#This Row],[Elapsed]],0))</f>
        <v/>
      </c>
      <c r="U45" s="105" t="str">
        <f>IF(ISBLANK(Term3_Day_3[[#This Row],[Activity]]),"",IF(_xlfn.XLOOKUP(Term3_Day_3[[#This Row],[Activity]],Types_of_Activity[Type of Activity],Types_of_Activity[Classification])=2,Term3_Day_3[[#This Row],[Elapsed]],0))</f>
        <v/>
      </c>
      <c r="W45" s="135"/>
      <c r="X45" s="135"/>
      <c r="Y45" s="102"/>
      <c r="Z45" s="105" t="str">
        <f>IF(OR(ISBLANK(Term3_Day_4[[#This Row],[Start]]),ISBLANK(Term3_Day_4[[#This Row],[End]])),"",(Term3_Day_4[[#This Row],[End]]-Term3_Day_4[[#This Row],[Start]])*1440)</f>
        <v/>
      </c>
      <c r="AA45" s="105" t="str">
        <f>IF(ISBLANK(Term3_Day_4[[#This Row],[Activity]]),"",IF(_xlfn.XLOOKUP(Term3_Day_4[[#This Row],[Activity]],Types_of_Activity[Type of Activity],Types_of_Activity[Classification])=1,Term3_Day_4[[#This Row],[Elapsed]],0))</f>
        <v/>
      </c>
      <c r="AB45" s="105" t="str">
        <f>IF(ISBLANK(Term3_Day_4[[#This Row],[Activity]]),"",IF(_xlfn.XLOOKUP(Term3_Day_4[[#This Row],[Activity]],Types_of_Activity[Type of Activity],Types_of_Activity[Classification])=2,Term3_Day_4[[#This Row],[Elapsed]],0))</f>
        <v/>
      </c>
      <c r="AD45" s="135"/>
      <c r="AE45" s="135"/>
      <c r="AF45" s="102"/>
      <c r="AG45" s="105" t="str">
        <f>IF(OR(ISBLANK(Term3_Day_5[[#This Row],[Start]]),ISBLANK(Term3_Day_5[[#This Row],[End]])),"",(Term3_Day_5[[#This Row],[End]]-Term3_Day_5[[#This Row],[Start]])*1440)</f>
        <v/>
      </c>
      <c r="AH45" s="105" t="str">
        <f>IF(ISBLANK(Term3_Day_5[[#This Row],[Activity]]),"",IF(_xlfn.XLOOKUP(Term3_Day_5[[#This Row],[Activity]],Types_of_Activity[Type of Activity],Types_of_Activity[Classification])=1,Term3_Day_5[[#This Row],[Elapsed]],0))</f>
        <v/>
      </c>
      <c r="AI45" s="105" t="str">
        <f>IF(ISBLANK(Term3_Day_5[[#This Row],[Activity]]),"",IF(_xlfn.XLOOKUP(Term3_Day_5[[#This Row],[Activity]],Types_of_Activity[Type of Activity],Types_of_Activity[Classification])=2,Term3_Day_5[[#This Row],[Elapsed]],0))</f>
        <v/>
      </c>
      <c r="AJ45" s="106"/>
      <c r="AK45" s="135"/>
      <c r="AL45" s="135"/>
      <c r="AM45" s="102"/>
      <c r="AN45" s="105" t="str">
        <f>IF(OR(ISBLANK(Term3_Day_6[[#This Row],[Start]]),ISBLANK(Term3_Day_6[[#This Row],[End]])),"",(Term3_Day_6[[#This Row],[End]]-Term3_Day_6[[#This Row],[Start]])*1440)</f>
        <v/>
      </c>
      <c r="AO45" s="105" t="str">
        <f>IF(ISBLANK(Term3_Day_6[[#This Row],[Activity]]),"",IF(_xlfn.XLOOKUP(Term3_Day_6[[#This Row],[Activity]],Types_of_Activity[Type of Activity],Types_of_Activity[Classification])=1,Term3_Day_6[[#This Row],[Elapsed]],0))</f>
        <v/>
      </c>
      <c r="AP45" s="105" t="str">
        <f>IF(ISBLANK(Term3_Day_6[[#This Row],[Activity]]),"",IF(_xlfn.XLOOKUP(Term3_Day_6[[#This Row],[Activity]],Types_of_Activity[Type of Activity],Types_of_Activity[Classification])=2,Term3_Day_6[[#This Row],[Elapsed]],0))</f>
        <v/>
      </c>
      <c r="AQ45" s="106"/>
      <c r="AR45" s="135"/>
      <c r="AS45" s="135"/>
      <c r="AT45" s="102"/>
      <c r="AU45" s="105" t="str">
        <f>IF(OR(ISBLANK(Term3_Day_7[[#This Row],[Start]]),ISBLANK(Term3_Day_7[[#This Row],[End]])),"",(Term3_Day_7[[#This Row],[End]]-Term3_Day_7[[#This Row],[Start]])*1440)</f>
        <v/>
      </c>
      <c r="AV45" s="105" t="str">
        <f>IF(ISBLANK(Term3_Day_7[[#This Row],[Activity]]),"",IF(_xlfn.XLOOKUP(Term3_Day_7[[#This Row],[Activity]],Types_of_Activity[Type of Activity],Types_of_Activity[Classification])=1,Term3_Day_7[[#This Row],[Elapsed]],0))</f>
        <v/>
      </c>
      <c r="AW45" s="105" t="str">
        <f>IF(ISBLANK(Term3_Day_7[[#This Row],[Activity]]),"",IF(_xlfn.XLOOKUP(Term3_Day_7[[#This Row],[Activity]],Types_of_Activity[Type of Activity],Types_of_Activity[Classification])=2,Term3_Day_7[[#This Row],[Elapsed]],0))</f>
        <v/>
      </c>
      <c r="AX45" s="106"/>
      <c r="AY45" s="135"/>
      <c r="AZ45" s="135"/>
      <c r="BA45" s="102"/>
      <c r="BB45" s="105" t="str">
        <f>IF(OR(ISBLANK(Term3_Day_8[[#This Row],[Start]]),ISBLANK(Term3_Day_8[[#This Row],[End]])),"",(Term3_Day_8[[#This Row],[End]]-Term3_Day_8[[#This Row],[Start]])*1440)</f>
        <v/>
      </c>
      <c r="BC45" s="105" t="str">
        <f>IF(ISBLANK(Term3_Day_8[[#This Row],[Activity]]),"",IF(_xlfn.XLOOKUP(Term3_Day_8[[#This Row],[Activity]],Types_of_Activity[Type of Activity],Types_of_Activity[Classification])=1,Term3_Day_8[[#This Row],[Elapsed]],0))</f>
        <v/>
      </c>
      <c r="BD45" s="105" t="str">
        <f>IF(ISBLANK(Term3_Day_8[[#This Row],[Activity]]),"",IF(_xlfn.XLOOKUP(Term3_Day_8[[#This Row],[Activity]],Types_of_Activity[Type of Activity],Types_of_Activity[Classification])=2,Term3_Day_8[[#This Row],[Elapsed]],0))</f>
        <v/>
      </c>
      <c r="BE45" s="106"/>
      <c r="BF45" s="135"/>
      <c r="BG45" s="135"/>
      <c r="BH45" s="102"/>
      <c r="BI45" s="105" t="str">
        <f>IF(OR(ISBLANK(Term3_Day_9[[#This Row],[Start]]),ISBLANK(Term3_Day_9[[#This Row],[End]])),"",(Term3_Day_9[[#This Row],[End]]-Term3_Day_9[[#This Row],[Start]])*1440)</f>
        <v/>
      </c>
      <c r="BJ45" s="105" t="str">
        <f>IF(ISBLANK(Term3_Day_9[[#This Row],[Activity]]),"",IF(_xlfn.XLOOKUP(Term3_Day_9[[#This Row],[Activity]],Types_of_Activity[Type of Activity],Types_of_Activity[Classification])=1,Term3_Day_9[[#This Row],[Elapsed]],0))</f>
        <v/>
      </c>
      <c r="BK45" s="105" t="str">
        <f>IF(ISBLANK(Term3_Day_9[[#This Row],[Activity]]),"",IF(_xlfn.XLOOKUP(Term3_Day_9[[#This Row],[Activity]],Types_of_Activity[Type of Activity],Types_of_Activity[Classification])=2,Term3_Day_9[[#This Row],[Elapsed]],0))</f>
        <v/>
      </c>
      <c r="BL45" s="106"/>
      <c r="BM45" s="135"/>
      <c r="BN45" s="135"/>
      <c r="BO45" s="102"/>
      <c r="BP45" s="105" t="str">
        <f>IF(OR(ISBLANK(Term3_Day_10[[#This Row],[Start]]),ISBLANK(Term3_Day_10[[#This Row],[End]])),"",(Term3_Day_10[[#This Row],[End]]-Term3_Day_10[[#This Row],[Start]])*1440)</f>
        <v/>
      </c>
      <c r="BQ45" s="105" t="str">
        <f>IF(ISBLANK(Term3_Day_10[[#This Row],[Activity]]),"",IF(_xlfn.XLOOKUP(Term3_Day_10[[#This Row],[Activity]],Types_of_Activity[Type of Activity],Types_of_Activity[Classification])=1,Term3_Day_10[[#This Row],[Elapsed]],0))</f>
        <v/>
      </c>
      <c r="BR45" s="105" t="str">
        <f>IF(ISBLANK(Term3_Day_10[[#This Row],[Activity]]),"",IF(_xlfn.XLOOKUP(Term3_Day_10[[#This Row],[Activity]],Types_of_Activity[Type of Activity],Types_of_Activity[Classification])=2,Term3_Day_10[[#This Row],[Elapsed]],0))</f>
        <v/>
      </c>
      <c r="BS45" s="106"/>
    </row>
    <row r="46" spans="2:71" x14ac:dyDescent="0.3">
      <c r="B46" s="135"/>
      <c r="C46" s="135"/>
      <c r="D46" s="102"/>
      <c r="E46" s="105" t="str">
        <f>IF(OR(ISBLANK(Term3_Day_1[[#This Row],[Start]]),ISBLANK(Term3_Day_1[[#This Row],[End]])),"",(Term3_Day_1[[#This Row],[End]]-Term3_Day_1[[#This Row],[Start]])*1440)</f>
        <v/>
      </c>
      <c r="F46" s="105" t="str">
        <f>IF(ISBLANK(Term3_Day_1[[#This Row],[Activity]]),"",IF(_xlfn.XLOOKUP(Term3_Day_1[[#This Row],[Activity]],Types_of_Activity[Type of Activity],Types_of_Activity[Classification])=1,Term3_Day_1[[#This Row],[Elapsed]],0))</f>
        <v/>
      </c>
      <c r="G46" s="105" t="str">
        <f>IF(ISBLANK(Term3_Day_1[[#This Row],[Activity]]),"",IF(_xlfn.XLOOKUP(Term3_Day_1[[#This Row],[Activity]],Types_of_Activity[Type of Activity],Types_of_Activity[Classification])=2,Term3_Day_1[[#This Row],[Elapsed]],0))</f>
        <v/>
      </c>
      <c r="I46" s="135"/>
      <c r="J46" s="135"/>
      <c r="K46" s="102"/>
      <c r="L46" s="105" t="str">
        <f>IF(OR(ISBLANK(Term3_Day_2[[#This Row],[Start]]),ISBLANK(Term3_Day_2[[#This Row],[End]])),"",(Term3_Day_2[[#This Row],[End]]-Term3_Day_2[[#This Row],[Start]])*1440)</f>
        <v/>
      </c>
      <c r="M46" s="105" t="str">
        <f>IF(ISBLANK(Term3_Day_2[[#This Row],[Activity]]),"",IF(_xlfn.XLOOKUP(Term3_Day_2[[#This Row],[Activity]],Types_of_Activity[Type of Activity],Types_of_Activity[Classification])=1,Term3_Day_2[[#This Row],[Elapsed]],0))</f>
        <v/>
      </c>
      <c r="N46" s="105" t="str">
        <f>IF(ISBLANK(Term3_Day_2[[#This Row],[Activity]]),"",IF(_xlfn.XLOOKUP(Term3_Day_2[[#This Row],[Activity]],Types_of_Activity[Type of Activity],Types_of_Activity[Classification])=2,Term3_Day_2[[#This Row],[Elapsed]],0))</f>
        <v/>
      </c>
      <c r="P46" s="135"/>
      <c r="Q46" s="135"/>
      <c r="R46" s="102"/>
      <c r="S46" s="105" t="str">
        <f>IF(OR(ISBLANK(Term3_Day_3[[#This Row],[Start]]),ISBLANK(Term3_Day_3[[#This Row],[End]])),"",(Term3_Day_3[[#This Row],[End]]-Term3_Day_3[[#This Row],[Start]])*1440)</f>
        <v/>
      </c>
      <c r="T46" s="105" t="str">
        <f>IF(ISBLANK(Term3_Day_3[[#This Row],[Activity]]),"",IF(_xlfn.XLOOKUP(Term3_Day_3[[#This Row],[Activity]],Types_of_Activity[Type of Activity],Types_of_Activity[Classification])=1,Term3_Day_3[[#This Row],[Elapsed]],0))</f>
        <v/>
      </c>
      <c r="U46" s="105" t="str">
        <f>IF(ISBLANK(Term3_Day_3[[#This Row],[Activity]]),"",IF(_xlfn.XLOOKUP(Term3_Day_3[[#This Row],[Activity]],Types_of_Activity[Type of Activity],Types_of_Activity[Classification])=2,Term3_Day_3[[#This Row],[Elapsed]],0))</f>
        <v/>
      </c>
      <c r="W46" s="135"/>
      <c r="X46" s="135"/>
      <c r="Y46" s="102"/>
      <c r="Z46" s="105" t="str">
        <f>IF(OR(ISBLANK(Term3_Day_4[[#This Row],[Start]]),ISBLANK(Term3_Day_4[[#This Row],[End]])),"",(Term3_Day_4[[#This Row],[End]]-Term3_Day_4[[#This Row],[Start]])*1440)</f>
        <v/>
      </c>
      <c r="AA46" s="105" t="str">
        <f>IF(ISBLANK(Term3_Day_4[[#This Row],[Activity]]),"",IF(_xlfn.XLOOKUP(Term3_Day_4[[#This Row],[Activity]],Types_of_Activity[Type of Activity],Types_of_Activity[Classification])=1,Term3_Day_4[[#This Row],[Elapsed]],0))</f>
        <v/>
      </c>
      <c r="AB46" s="105" t="str">
        <f>IF(ISBLANK(Term3_Day_4[[#This Row],[Activity]]),"",IF(_xlfn.XLOOKUP(Term3_Day_4[[#This Row],[Activity]],Types_of_Activity[Type of Activity],Types_of_Activity[Classification])=2,Term3_Day_4[[#This Row],[Elapsed]],0))</f>
        <v/>
      </c>
      <c r="AD46" s="135"/>
      <c r="AE46" s="135"/>
      <c r="AF46" s="102"/>
      <c r="AG46" s="105" t="str">
        <f>IF(OR(ISBLANK(Term3_Day_5[[#This Row],[Start]]),ISBLANK(Term3_Day_5[[#This Row],[End]])),"",(Term3_Day_5[[#This Row],[End]]-Term3_Day_5[[#This Row],[Start]])*1440)</f>
        <v/>
      </c>
      <c r="AH46" s="105" t="str">
        <f>IF(ISBLANK(Term3_Day_5[[#This Row],[Activity]]),"",IF(_xlfn.XLOOKUP(Term3_Day_5[[#This Row],[Activity]],Types_of_Activity[Type of Activity],Types_of_Activity[Classification])=1,Term3_Day_5[[#This Row],[Elapsed]],0))</f>
        <v/>
      </c>
      <c r="AI46" s="105" t="str">
        <f>IF(ISBLANK(Term3_Day_5[[#This Row],[Activity]]),"",IF(_xlfn.XLOOKUP(Term3_Day_5[[#This Row],[Activity]],Types_of_Activity[Type of Activity],Types_of_Activity[Classification])=2,Term3_Day_5[[#This Row],[Elapsed]],0))</f>
        <v/>
      </c>
      <c r="AJ46" s="106"/>
      <c r="AK46" s="135"/>
      <c r="AL46" s="135"/>
      <c r="AM46" s="102"/>
      <c r="AN46" s="105" t="str">
        <f>IF(OR(ISBLANK(Term3_Day_6[[#This Row],[Start]]),ISBLANK(Term3_Day_6[[#This Row],[End]])),"",(Term3_Day_6[[#This Row],[End]]-Term3_Day_6[[#This Row],[Start]])*1440)</f>
        <v/>
      </c>
      <c r="AO46" s="105" t="str">
        <f>IF(ISBLANK(Term3_Day_6[[#This Row],[Activity]]),"",IF(_xlfn.XLOOKUP(Term3_Day_6[[#This Row],[Activity]],Types_of_Activity[Type of Activity],Types_of_Activity[Classification])=1,Term3_Day_6[[#This Row],[Elapsed]],0))</f>
        <v/>
      </c>
      <c r="AP46" s="105" t="str">
        <f>IF(ISBLANK(Term3_Day_6[[#This Row],[Activity]]),"",IF(_xlfn.XLOOKUP(Term3_Day_6[[#This Row],[Activity]],Types_of_Activity[Type of Activity],Types_of_Activity[Classification])=2,Term3_Day_6[[#This Row],[Elapsed]],0))</f>
        <v/>
      </c>
      <c r="AQ46" s="106"/>
      <c r="AR46" s="135"/>
      <c r="AS46" s="135"/>
      <c r="AT46" s="102"/>
      <c r="AU46" s="105" t="str">
        <f>IF(OR(ISBLANK(Term3_Day_7[[#This Row],[Start]]),ISBLANK(Term3_Day_7[[#This Row],[End]])),"",(Term3_Day_7[[#This Row],[End]]-Term3_Day_7[[#This Row],[Start]])*1440)</f>
        <v/>
      </c>
      <c r="AV46" s="105" t="str">
        <f>IF(ISBLANK(Term3_Day_7[[#This Row],[Activity]]),"",IF(_xlfn.XLOOKUP(Term3_Day_7[[#This Row],[Activity]],Types_of_Activity[Type of Activity],Types_of_Activity[Classification])=1,Term3_Day_7[[#This Row],[Elapsed]],0))</f>
        <v/>
      </c>
      <c r="AW46" s="105" t="str">
        <f>IF(ISBLANK(Term3_Day_7[[#This Row],[Activity]]),"",IF(_xlfn.XLOOKUP(Term3_Day_7[[#This Row],[Activity]],Types_of_Activity[Type of Activity],Types_of_Activity[Classification])=2,Term3_Day_7[[#This Row],[Elapsed]],0))</f>
        <v/>
      </c>
      <c r="AX46" s="106"/>
      <c r="AY46" s="135"/>
      <c r="AZ46" s="135"/>
      <c r="BA46" s="102"/>
      <c r="BB46" s="105" t="str">
        <f>IF(OR(ISBLANK(Term3_Day_8[[#This Row],[Start]]),ISBLANK(Term3_Day_8[[#This Row],[End]])),"",(Term3_Day_8[[#This Row],[End]]-Term3_Day_8[[#This Row],[Start]])*1440)</f>
        <v/>
      </c>
      <c r="BC46" s="105" t="str">
        <f>IF(ISBLANK(Term3_Day_8[[#This Row],[Activity]]),"",IF(_xlfn.XLOOKUP(Term3_Day_8[[#This Row],[Activity]],Types_of_Activity[Type of Activity],Types_of_Activity[Classification])=1,Term3_Day_8[[#This Row],[Elapsed]],0))</f>
        <v/>
      </c>
      <c r="BD46" s="105" t="str">
        <f>IF(ISBLANK(Term3_Day_8[[#This Row],[Activity]]),"",IF(_xlfn.XLOOKUP(Term3_Day_8[[#This Row],[Activity]],Types_of_Activity[Type of Activity],Types_of_Activity[Classification])=2,Term3_Day_8[[#This Row],[Elapsed]],0))</f>
        <v/>
      </c>
      <c r="BE46" s="106"/>
      <c r="BF46" s="135"/>
      <c r="BG46" s="135"/>
      <c r="BH46" s="102"/>
      <c r="BI46" s="105" t="str">
        <f>IF(OR(ISBLANK(Term3_Day_9[[#This Row],[Start]]),ISBLANK(Term3_Day_9[[#This Row],[End]])),"",(Term3_Day_9[[#This Row],[End]]-Term3_Day_9[[#This Row],[Start]])*1440)</f>
        <v/>
      </c>
      <c r="BJ46" s="105" t="str">
        <f>IF(ISBLANK(Term3_Day_9[[#This Row],[Activity]]),"",IF(_xlfn.XLOOKUP(Term3_Day_9[[#This Row],[Activity]],Types_of_Activity[Type of Activity],Types_of_Activity[Classification])=1,Term3_Day_9[[#This Row],[Elapsed]],0))</f>
        <v/>
      </c>
      <c r="BK46" s="105" t="str">
        <f>IF(ISBLANK(Term3_Day_9[[#This Row],[Activity]]),"",IF(_xlfn.XLOOKUP(Term3_Day_9[[#This Row],[Activity]],Types_of_Activity[Type of Activity],Types_of_Activity[Classification])=2,Term3_Day_9[[#This Row],[Elapsed]],0))</f>
        <v/>
      </c>
      <c r="BL46" s="106"/>
      <c r="BM46" s="135"/>
      <c r="BN46" s="135"/>
      <c r="BO46" s="102"/>
      <c r="BP46" s="105" t="str">
        <f>IF(OR(ISBLANK(Term3_Day_10[[#This Row],[Start]]),ISBLANK(Term3_Day_10[[#This Row],[End]])),"",(Term3_Day_10[[#This Row],[End]]-Term3_Day_10[[#This Row],[Start]])*1440)</f>
        <v/>
      </c>
      <c r="BQ46" s="105" t="str">
        <f>IF(ISBLANK(Term3_Day_10[[#This Row],[Activity]]),"",IF(_xlfn.XLOOKUP(Term3_Day_10[[#This Row],[Activity]],Types_of_Activity[Type of Activity],Types_of_Activity[Classification])=1,Term3_Day_10[[#This Row],[Elapsed]],0))</f>
        <v/>
      </c>
      <c r="BR46" s="105" t="str">
        <f>IF(ISBLANK(Term3_Day_10[[#This Row],[Activity]]),"",IF(_xlfn.XLOOKUP(Term3_Day_10[[#This Row],[Activity]],Types_of_Activity[Type of Activity],Types_of_Activity[Classification])=2,Term3_Day_10[[#This Row],[Elapsed]],0))</f>
        <v/>
      </c>
      <c r="BS46" s="106"/>
    </row>
    <row r="47" spans="2:71" x14ac:dyDescent="0.3">
      <c r="B47" s="135"/>
      <c r="C47" s="135"/>
      <c r="D47" s="102"/>
      <c r="E47" s="105" t="str">
        <f>IF(OR(ISBLANK(Term3_Day_1[[#This Row],[Start]]),ISBLANK(Term3_Day_1[[#This Row],[End]])),"",(Term3_Day_1[[#This Row],[End]]-Term3_Day_1[[#This Row],[Start]])*1440)</f>
        <v/>
      </c>
      <c r="F47" s="105" t="str">
        <f>IF(ISBLANK(Term3_Day_1[[#This Row],[Activity]]),"",IF(_xlfn.XLOOKUP(Term3_Day_1[[#This Row],[Activity]],Types_of_Activity[Type of Activity],Types_of_Activity[Classification])=1,Term3_Day_1[[#This Row],[Elapsed]],0))</f>
        <v/>
      </c>
      <c r="G47" s="105" t="str">
        <f>IF(ISBLANK(Term3_Day_1[[#This Row],[Activity]]),"",IF(_xlfn.XLOOKUP(Term3_Day_1[[#This Row],[Activity]],Types_of_Activity[Type of Activity],Types_of_Activity[Classification])=2,Term3_Day_1[[#This Row],[Elapsed]],0))</f>
        <v/>
      </c>
      <c r="I47" s="135"/>
      <c r="J47" s="135"/>
      <c r="K47" s="102"/>
      <c r="L47" s="105" t="str">
        <f>IF(OR(ISBLANK(Term3_Day_2[[#This Row],[Start]]),ISBLANK(Term3_Day_2[[#This Row],[End]])),"",(Term3_Day_2[[#This Row],[End]]-Term3_Day_2[[#This Row],[Start]])*1440)</f>
        <v/>
      </c>
      <c r="M47" s="105" t="str">
        <f>IF(ISBLANK(Term3_Day_2[[#This Row],[Activity]]),"",IF(_xlfn.XLOOKUP(Term3_Day_2[[#This Row],[Activity]],Types_of_Activity[Type of Activity],Types_of_Activity[Classification])=1,Term3_Day_2[[#This Row],[Elapsed]],0))</f>
        <v/>
      </c>
      <c r="N47" s="105" t="str">
        <f>IF(ISBLANK(Term3_Day_2[[#This Row],[Activity]]),"",IF(_xlfn.XLOOKUP(Term3_Day_2[[#This Row],[Activity]],Types_of_Activity[Type of Activity],Types_of_Activity[Classification])=2,Term3_Day_2[[#This Row],[Elapsed]],0))</f>
        <v/>
      </c>
      <c r="P47" s="135"/>
      <c r="Q47" s="135"/>
      <c r="R47" s="102"/>
      <c r="S47" s="105" t="str">
        <f>IF(OR(ISBLANK(Term3_Day_3[[#This Row],[Start]]),ISBLANK(Term3_Day_3[[#This Row],[End]])),"",(Term3_Day_3[[#This Row],[End]]-Term3_Day_3[[#This Row],[Start]])*1440)</f>
        <v/>
      </c>
      <c r="T47" s="105" t="str">
        <f>IF(ISBLANK(Term3_Day_3[[#This Row],[Activity]]),"",IF(_xlfn.XLOOKUP(Term3_Day_3[[#This Row],[Activity]],Types_of_Activity[Type of Activity],Types_of_Activity[Classification])=1,Term3_Day_3[[#This Row],[Elapsed]],0))</f>
        <v/>
      </c>
      <c r="U47" s="105" t="str">
        <f>IF(ISBLANK(Term3_Day_3[[#This Row],[Activity]]),"",IF(_xlfn.XLOOKUP(Term3_Day_3[[#This Row],[Activity]],Types_of_Activity[Type of Activity],Types_of_Activity[Classification])=2,Term3_Day_3[[#This Row],[Elapsed]],0))</f>
        <v/>
      </c>
      <c r="W47" s="135"/>
      <c r="X47" s="135"/>
      <c r="Y47" s="102"/>
      <c r="Z47" s="105" t="str">
        <f>IF(OR(ISBLANK(Term3_Day_4[[#This Row],[Start]]),ISBLANK(Term3_Day_4[[#This Row],[End]])),"",(Term3_Day_4[[#This Row],[End]]-Term3_Day_4[[#This Row],[Start]])*1440)</f>
        <v/>
      </c>
      <c r="AA47" s="105" t="str">
        <f>IF(ISBLANK(Term3_Day_4[[#This Row],[Activity]]),"",IF(_xlfn.XLOOKUP(Term3_Day_4[[#This Row],[Activity]],Types_of_Activity[Type of Activity],Types_of_Activity[Classification])=1,Term3_Day_4[[#This Row],[Elapsed]],0))</f>
        <v/>
      </c>
      <c r="AB47" s="105" t="str">
        <f>IF(ISBLANK(Term3_Day_4[[#This Row],[Activity]]),"",IF(_xlfn.XLOOKUP(Term3_Day_4[[#This Row],[Activity]],Types_of_Activity[Type of Activity],Types_of_Activity[Classification])=2,Term3_Day_4[[#This Row],[Elapsed]],0))</f>
        <v/>
      </c>
      <c r="AD47" s="135"/>
      <c r="AE47" s="135"/>
      <c r="AF47" s="102"/>
      <c r="AG47" s="105" t="str">
        <f>IF(OR(ISBLANK(Term3_Day_5[[#This Row],[Start]]),ISBLANK(Term3_Day_5[[#This Row],[End]])),"",(Term3_Day_5[[#This Row],[End]]-Term3_Day_5[[#This Row],[Start]])*1440)</f>
        <v/>
      </c>
      <c r="AH47" s="105" t="str">
        <f>IF(ISBLANK(Term3_Day_5[[#This Row],[Activity]]),"",IF(_xlfn.XLOOKUP(Term3_Day_5[[#This Row],[Activity]],Types_of_Activity[Type of Activity],Types_of_Activity[Classification])=1,Term3_Day_5[[#This Row],[Elapsed]],0))</f>
        <v/>
      </c>
      <c r="AI47" s="105" t="str">
        <f>IF(ISBLANK(Term3_Day_5[[#This Row],[Activity]]),"",IF(_xlfn.XLOOKUP(Term3_Day_5[[#This Row],[Activity]],Types_of_Activity[Type of Activity],Types_of_Activity[Classification])=2,Term3_Day_5[[#This Row],[Elapsed]],0))</f>
        <v/>
      </c>
      <c r="AJ47" s="106"/>
      <c r="AK47" s="135"/>
      <c r="AL47" s="135"/>
      <c r="AM47" s="102"/>
      <c r="AN47" s="105" t="str">
        <f>IF(OR(ISBLANK(Term3_Day_6[[#This Row],[Start]]),ISBLANK(Term3_Day_6[[#This Row],[End]])),"",(Term3_Day_6[[#This Row],[End]]-Term3_Day_6[[#This Row],[Start]])*1440)</f>
        <v/>
      </c>
      <c r="AO47" s="105" t="str">
        <f>IF(ISBLANK(Term3_Day_6[[#This Row],[Activity]]),"",IF(_xlfn.XLOOKUP(Term3_Day_6[[#This Row],[Activity]],Types_of_Activity[Type of Activity],Types_of_Activity[Classification])=1,Term3_Day_6[[#This Row],[Elapsed]],0))</f>
        <v/>
      </c>
      <c r="AP47" s="105" t="str">
        <f>IF(ISBLANK(Term3_Day_6[[#This Row],[Activity]]),"",IF(_xlfn.XLOOKUP(Term3_Day_6[[#This Row],[Activity]],Types_of_Activity[Type of Activity],Types_of_Activity[Classification])=2,Term3_Day_6[[#This Row],[Elapsed]],0))</f>
        <v/>
      </c>
      <c r="AQ47" s="106"/>
      <c r="AR47" s="135"/>
      <c r="AS47" s="135"/>
      <c r="AT47" s="102"/>
      <c r="AU47" s="105" t="str">
        <f>IF(OR(ISBLANK(Term3_Day_7[[#This Row],[Start]]),ISBLANK(Term3_Day_7[[#This Row],[End]])),"",(Term3_Day_7[[#This Row],[End]]-Term3_Day_7[[#This Row],[Start]])*1440)</f>
        <v/>
      </c>
      <c r="AV47" s="105" t="str">
        <f>IF(ISBLANK(Term3_Day_7[[#This Row],[Activity]]),"",IF(_xlfn.XLOOKUP(Term3_Day_7[[#This Row],[Activity]],Types_of_Activity[Type of Activity],Types_of_Activity[Classification])=1,Term3_Day_7[[#This Row],[Elapsed]],0))</f>
        <v/>
      </c>
      <c r="AW47" s="105" t="str">
        <f>IF(ISBLANK(Term3_Day_7[[#This Row],[Activity]]),"",IF(_xlfn.XLOOKUP(Term3_Day_7[[#This Row],[Activity]],Types_of_Activity[Type of Activity],Types_of_Activity[Classification])=2,Term3_Day_7[[#This Row],[Elapsed]],0))</f>
        <v/>
      </c>
      <c r="AX47" s="106"/>
      <c r="AY47" s="135"/>
      <c r="AZ47" s="135"/>
      <c r="BA47" s="102"/>
      <c r="BB47" s="105" t="str">
        <f>IF(OR(ISBLANK(Term3_Day_8[[#This Row],[Start]]),ISBLANK(Term3_Day_8[[#This Row],[End]])),"",(Term3_Day_8[[#This Row],[End]]-Term3_Day_8[[#This Row],[Start]])*1440)</f>
        <v/>
      </c>
      <c r="BC47" s="105" t="str">
        <f>IF(ISBLANK(Term3_Day_8[[#This Row],[Activity]]),"",IF(_xlfn.XLOOKUP(Term3_Day_8[[#This Row],[Activity]],Types_of_Activity[Type of Activity],Types_of_Activity[Classification])=1,Term3_Day_8[[#This Row],[Elapsed]],0))</f>
        <v/>
      </c>
      <c r="BD47" s="105" t="str">
        <f>IF(ISBLANK(Term3_Day_8[[#This Row],[Activity]]),"",IF(_xlfn.XLOOKUP(Term3_Day_8[[#This Row],[Activity]],Types_of_Activity[Type of Activity],Types_of_Activity[Classification])=2,Term3_Day_8[[#This Row],[Elapsed]],0))</f>
        <v/>
      </c>
      <c r="BE47" s="106"/>
      <c r="BF47" s="135"/>
      <c r="BG47" s="135"/>
      <c r="BH47" s="102"/>
      <c r="BI47" s="105" t="str">
        <f>IF(OR(ISBLANK(Term3_Day_9[[#This Row],[Start]]),ISBLANK(Term3_Day_9[[#This Row],[End]])),"",(Term3_Day_9[[#This Row],[End]]-Term3_Day_9[[#This Row],[Start]])*1440)</f>
        <v/>
      </c>
      <c r="BJ47" s="105" t="str">
        <f>IF(ISBLANK(Term3_Day_9[[#This Row],[Activity]]),"",IF(_xlfn.XLOOKUP(Term3_Day_9[[#This Row],[Activity]],Types_of_Activity[Type of Activity],Types_of_Activity[Classification])=1,Term3_Day_9[[#This Row],[Elapsed]],0))</f>
        <v/>
      </c>
      <c r="BK47" s="105" t="str">
        <f>IF(ISBLANK(Term3_Day_9[[#This Row],[Activity]]),"",IF(_xlfn.XLOOKUP(Term3_Day_9[[#This Row],[Activity]],Types_of_Activity[Type of Activity],Types_of_Activity[Classification])=2,Term3_Day_9[[#This Row],[Elapsed]],0))</f>
        <v/>
      </c>
      <c r="BL47" s="106"/>
      <c r="BM47" s="135"/>
      <c r="BN47" s="135"/>
      <c r="BO47" s="102"/>
      <c r="BP47" s="105" t="str">
        <f>IF(OR(ISBLANK(Term3_Day_10[[#This Row],[Start]]),ISBLANK(Term3_Day_10[[#This Row],[End]])),"",(Term3_Day_10[[#This Row],[End]]-Term3_Day_10[[#This Row],[Start]])*1440)</f>
        <v/>
      </c>
      <c r="BQ47" s="105" t="str">
        <f>IF(ISBLANK(Term3_Day_10[[#This Row],[Activity]]),"",IF(_xlfn.XLOOKUP(Term3_Day_10[[#This Row],[Activity]],Types_of_Activity[Type of Activity],Types_of_Activity[Classification])=1,Term3_Day_10[[#This Row],[Elapsed]],0))</f>
        <v/>
      </c>
      <c r="BR47" s="105" t="str">
        <f>IF(ISBLANK(Term3_Day_10[[#This Row],[Activity]]),"",IF(_xlfn.XLOOKUP(Term3_Day_10[[#This Row],[Activity]],Types_of_Activity[Type of Activity],Types_of_Activity[Classification])=2,Term3_Day_10[[#This Row],[Elapsed]],0))</f>
        <v/>
      </c>
      <c r="BS47" s="106"/>
    </row>
    <row r="48" spans="2:71" x14ac:dyDescent="0.3">
      <c r="B48" s="135"/>
      <c r="C48" s="135"/>
      <c r="D48" s="102"/>
      <c r="E48" s="105" t="str">
        <f>IF(OR(ISBLANK(Term3_Day_1[[#This Row],[Start]]),ISBLANK(Term3_Day_1[[#This Row],[End]])),"",(Term3_Day_1[[#This Row],[End]]-Term3_Day_1[[#This Row],[Start]])*1440)</f>
        <v/>
      </c>
      <c r="F48" s="105" t="str">
        <f>IF(ISBLANK(Term3_Day_1[[#This Row],[Activity]]),"",IF(_xlfn.XLOOKUP(Term3_Day_1[[#This Row],[Activity]],Types_of_Activity[Type of Activity],Types_of_Activity[Classification])=1,Term3_Day_1[[#This Row],[Elapsed]],0))</f>
        <v/>
      </c>
      <c r="G48" s="105" t="str">
        <f>IF(ISBLANK(Term3_Day_1[[#This Row],[Activity]]),"",IF(_xlfn.XLOOKUP(Term3_Day_1[[#This Row],[Activity]],Types_of_Activity[Type of Activity],Types_of_Activity[Classification])=2,Term3_Day_1[[#This Row],[Elapsed]],0))</f>
        <v/>
      </c>
      <c r="I48" s="135"/>
      <c r="J48" s="135"/>
      <c r="K48" s="102"/>
      <c r="L48" s="105" t="str">
        <f>IF(OR(ISBLANK(Term3_Day_2[[#This Row],[Start]]),ISBLANK(Term3_Day_2[[#This Row],[End]])),"",(Term3_Day_2[[#This Row],[End]]-Term3_Day_2[[#This Row],[Start]])*1440)</f>
        <v/>
      </c>
      <c r="M48" s="105" t="str">
        <f>IF(ISBLANK(Term3_Day_2[[#This Row],[Activity]]),"",IF(_xlfn.XLOOKUP(Term3_Day_2[[#This Row],[Activity]],Types_of_Activity[Type of Activity],Types_of_Activity[Classification])=1,Term3_Day_2[[#This Row],[Elapsed]],0))</f>
        <v/>
      </c>
      <c r="N48" s="105" t="str">
        <f>IF(ISBLANK(Term3_Day_2[[#This Row],[Activity]]),"",IF(_xlfn.XLOOKUP(Term3_Day_2[[#This Row],[Activity]],Types_of_Activity[Type of Activity],Types_of_Activity[Classification])=2,Term3_Day_2[[#This Row],[Elapsed]],0))</f>
        <v/>
      </c>
      <c r="P48" s="135"/>
      <c r="Q48" s="135"/>
      <c r="R48" s="102"/>
      <c r="S48" s="105" t="str">
        <f>IF(OR(ISBLANK(Term3_Day_3[[#This Row],[Start]]),ISBLANK(Term3_Day_3[[#This Row],[End]])),"",(Term3_Day_3[[#This Row],[End]]-Term3_Day_3[[#This Row],[Start]])*1440)</f>
        <v/>
      </c>
      <c r="T48" s="105" t="str">
        <f>IF(ISBLANK(Term3_Day_3[[#This Row],[Activity]]),"",IF(_xlfn.XLOOKUP(Term3_Day_3[[#This Row],[Activity]],Types_of_Activity[Type of Activity],Types_of_Activity[Classification])=1,Term3_Day_3[[#This Row],[Elapsed]],0))</f>
        <v/>
      </c>
      <c r="U48" s="105" t="str">
        <f>IF(ISBLANK(Term3_Day_3[[#This Row],[Activity]]),"",IF(_xlfn.XLOOKUP(Term3_Day_3[[#This Row],[Activity]],Types_of_Activity[Type of Activity],Types_of_Activity[Classification])=2,Term3_Day_3[[#This Row],[Elapsed]],0))</f>
        <v/>
      </c>
      <c r="W48" s="135"/>
      <c r="X48" s="135"/>
      <c r="Y48" s="102"/>
      <c r="Z48" s="105" t="str">
        <f>IF(OR(ISBLANK(Term3_Day_4[[#This Row],[Start]]),ISBLANK(Term3_Day_4[[#This Row],[End]])),"",(Term3_Day_4[[#This Row],[End]]-Term3_Day_4[[#This Row],[Start]])*1440)</f>
        <v/>
      </c>
      <c r="AA48" s="105" t="str">
        <f>IF(ISBLANK(Term3_Day_4[[#This Row],[Activity]]),"",IF(_xlfn.XLOOKUP(Term3_Day_4[[#This Row],[Activity]],Types_of_Activity[Type of Activity],Types_of_Activity[Classification])=1,Term3_Day_4[[#This Row],[Elapsed]],0))</f>
        <v/>
      </c>
      <c r="AB48" s="105" t="str">
        <f>IF(ISBLANK(Term3_Day_4[[#This Row],[Activity]]),"",IF(_xlfn.XLOOKUP(Term3_Day_4[[#This Row],[Activity]],Types_of_Activity[Type of Activity],Types_of_Activity[Classification])=2,Term3_Day_4[[#This Row],[Elapsed]],0))</f>
        <v/>
      </c>
      <c r="AD48" s="135"/>
      <c r="AE48" s="135"/>
      <c r="AF48" s="102"/>
      <c r="AG48" s="105" t="str">
        <f>IF(OR(ISBLANK(Term3_Day_5[[#This Row],[Start]]),ISBLANK(Term3_Day_5[[#This Row],[End]])),"",(Term3_Day_5[[#This Row],[End]]-Term3_Day_5[[#This Row],[Start]])*1440)</f>
        <v/>
      </c>
      <c r="AH48" s="105" t="str">
        <f>IF(ISBLANK(Term3_Day_5[[#This Row],[Activity]]),"",IF(_xlfn.XLOOKUP(Term3_Day_5[[#This Row],[Activity]],Types_of_Activity[Type of Activity],Types_of_Activity[Classification])=1,Term3_Day_5[[#This Row],[Elapsed]],0))</f>
        <v/>
      </c>
      <c r="AI48" s="105" t="str">
        <f>IF(ISBLANK(Term3_Day_5[[#This Row],[Activity]]),"",IF(_xlfn.XLOOKUP(Term3_Day_5[[#This Row],[Activity]],Types_of_Activity[Type of Activity],Types_of_Activity[Classification])=2,Term3_Day_5[[#This Row],[Elapsed]],0))</f>
        <v/>
      </c>
      <c r="AJ48" s="106"/>
      <c r="AK48" s="135"/>
      <c r="AL48" s="135"/>
      <c r="AM48" s="102"/>
      <c r="AN48" s="105" t="str">
        <f>IF(OR(ISBLANK(Term3_Day_6[[#This Row],[Start]]),ISBLANK(Term3_Day_6[[#This Row],[End]])),"",(Term3_Day_6[[#This Row],[End]]-Term3_Day_6[[#This Row],[Start]])*1440)</f>
        <v/>
      </c>
      <c r="AO48" s="105" t="str">
        <f>IF(ISBLANK(Term3_Day_6[[#This Row],[Activity]]),"",IF(_xlfn.XLOOKUP(Term3_Day_6[[#This Row],[Activity]],Types_of_Activity[Type of Activity],Types_of_Activity[Classification])=1,Term3_Day_6[[#This Row],[Elapsed]],0))</f>
        <v/>
      </c>
      <c r="AP48" s="105" t="str">
        <f>IF(ISBLANK(Term3_Day_6[[#This Row],[Activity]]),"",IF(_xlfn.XLOOKUP(Term3_Day_6[[#This Row],[Activity]],Types_of_Activity[Type of Activity],Types_of_Activity[Classification])=2,Term3_Day_6[[#This Row],[Elapsed]],0))</f>
        <v/>
      </c>
      <c r="AQ48" s="106"/>
      <c r="AR48" s="135"/>
      <c r="AS48" s="135"/>
      <c r="AT48" s="102"/>
      <c r="AU48" s="105" t="str">
        <f>IF(OR(ISBLANK(Term3_Day_7[[#This Row],[Start]]),ISBLANK(Term3_Day_7[[#This Row],[End]])),"",(Term3_Day_7[[#This Row],[End]]-Term3_Day_7[[#This Row],[Start]])*1440)</f>
        <v/>
      </c>
      <c r="AV48" s="105" t="str">
        <f>IF(ISBLANK(Term3_Day_7[[#This Row],[Activity]]),"",IF(_xlfn.XLOOKUP(Term3_Day_7[[#This Row],[Activity]],Types_of_Activity[Type of Activity],Types_of_Activity[Classification])=1,Term3_Day_7[[#This Row],[Elapsed]],0))</f>
        <v/>
      </c>
      <c r="AW48" s="105" t="str">
        <f>IF(ISBLANK(Term3_Day_7[[#This Row],[Activity]]),"",IF(_xlfn.XLOOKUP(Term3_Day_7[[#This Row],[Activity]],Types_of_Activity[Type of Activity],Types_of_Activity[Classification])=2,Term3_Day_7[[#This Row],[Elapsed]],0))</f>
        <v/>
      </c>
      <c r="AX48" s="106"/>
      <c r="AY48" s="135"/>
      <c r="AZ48" s="135"/>
      <c r="BA48" s="102"/>
      <c r="BB48" s="105" t="str">
        <f>IF(OR(ISBLANK(Term3_Day_8[[#This Row],[Start]]),ISBLANK(Term3_Day_8[[#This Row],[End]])),"",(Term3_Day_8[[#This Row],[End]]-Term3_Day_8[[#This Row],[Start]])*1440)</f>
        <v/>
      </c>
      <c r="BC48" s="105" t="str">
        <f>IF(ISBLANK(Term3_Day_8[[#This Row],[Activity]]),"",IF(_xlfn.XLOOKUP(Term3_Day_8[[#This Row],[Activity]],Types_of_Activity[Type of Activity],Types_of_Activity[Classification])=1,Term3_Day_8[[#This Row],[Elapsed]],0))</f>
        <v/>
      </c>
      <c r="BD48" s="105" t="str">
        <f>IF(ISBLANK(Term3_Day_8[[#This Row],[Activity]]),"",IF(_xlfn.XLOOKUP(Term3_Day_8[[#This Row],[Activity]],Types_of_Activity[Type of Activity],Types_of_Activity[Classification])=2,Term3_Day_8[[#This Row],[Elapsed]],0))</f>
        <v/>
      </c>
      <c r="BE48" s="106"/>
      <c r="BF48" s="135"/>
      <c r="BG48" s="135"/>
      <c r="BH48" s="102"/>
      <c r="BI48" s="105" t="str">
        <f>IF(OR(ISBLANK(Term3_Day_9[[#This Row],[Start]]),ISBLANK(Term3_Day_9[[#This Row],[End]])),"",(Term3_Day_9[[#This Row],[End]]-Term3_Day_9[[#This Row],[Start]])*1440)</f>
        <v/>
      </c>
      <c r="BJ48" s="105" t="str">
        <f>IF(ISBLANK(Term3_Day_9[[#This Row],[Activity]]),"",IF(_xlfn.XLOOKUP(Term3_Day_9[[#This Row],[Activity]],Types_of_Activity[Type of Activity],Types_of_Activity[Classification])=1,Term3_Day_9[[#This Row],[Elapsed]],0))</f>
        <v/>
      </c>
      <c r="BK48" s="105" t="str">
        <f>IF(ISBLANK(Term3_Day_9[[#This Row],[Activity]]),"",IF(_xlfn.XLOOKUP(Term3_Day_9[[#This Row],[Activity]],Types_of_Activity[Type of Activity],Types_of_Activity[Classification])=2,Term3_Day_9[[#This Row],[Elapsed]],0))</f>
        <v/>
      </c>
      <c r="BL48" s="106"/>
      <c r="BM48" s="135"/>
      <c r="BN48" s="135"/>
      <c r="BO48" s="102"/>
      <c r="BP48" s="105" t="str">
        <f>IF(OR(ISBLANK(Term3_Day_10[[#This Row],[Start]]),ISBLANK(Term3_Day_10[[#This Row],[End]])),"",(Term3_Day_10[[#This Row],[End]]-Term3_Day_10[[#This Row],[Start]])*1440)</f>
        <v/>
      </c>
      <c r="BQ48" s="105" t="str">
        <f>IF(ISBLANK(Term3_Day_10[[#This Row],[Activity]]),"",IF(_xlfn.XLOOKUP(Term3_Day_10[[#This Row],[Activity]],Types_of_Activity[Type of Activity],Types_of_Activity[Classification])=1,Term3_Day_10[[#This Row],[Elapsed]],0))</f>
        <v/>
      </c>
      <c r="BR48" s="105" t="str">
        <f>IF(ISBLANK(Term3_Day_10[[#This Row],[Activity]]),"",IF(_xlfn.XLOOKUP(Term3_Day_10[[#This Row],[Activity]],Types_of_Activity[Type of Activity],Types_of_Activity[Classification])=2,Term3_Day_10[[#This Row],[Elapsed]],0))</f>
        <v/>
      </c>
      <c r="BS48" s="106"/>
    </row>
    <row r="49" spans="2:71" x14ac:dyDescent="0.3">
      <c r="B49" s="135"/>
      <c r="C49" s="135"/>
      <c r="D49" s="102"/>
      <c r="E49" s="105" t="str">
        <f>IF(OR(ISBLANK(Term3_Day_1[[#This Row],[Start]]),ISBLANK(Term3_Day_1[[#This Row],[End]])),"",(Term3_Day_1[[#This Row],[End]]-Term3_Day_1[[#This Row],[Start]])*1440)</f>
        <v/>
      </c>
      <c r="F49" s="105" t="str">
        <f>IF(ISBLANK(Term3_Day_1[[#This Row],[Activity]]),"",IF(_xlfn.XLOOKUP(Term3_Day_1[[#This Row],[Activity]],Types_of_Activity[Type of Activity],Types_of_Activity[Classification])=1,Term3_Day_1[[#This Row],[Elapsed]],0))</f>
        <v/>
      </c>
      <c r="G49" s="105" t="str">
        <f>IF(ISBLANK(Term3_Day_1[[#This Row],[Activity]]),"",IF(_xlfn.XLOOKUP(Term3_Day_1[[#This Row],[Activity]],Types_of_Activity[Type of Activity],Types_of_Activity[Classification])=2,Term3_Day_1[[#This Row],[Elapsed]],0))</f>
        <v/>
      </c>
      <c r="I49" s="135"/>
      <c r="J49" s="135"/>
      <c r="K49" s="102"/>
      <c r="L49" s="105" t="str">
        <f>IF(OR(ISBLANK(Term3_Day_2[[#This Row],[Start]]),ISBLANK(Term3_Day_2[[#This Row],[End]])),"",(Term3_Day_2[[#This Row],[End]]-Term3_Day_2[[#This Row],[Start]])*1440)</f>
        <v/>
      </c>
      <c r="M49" s="105" t="str">
        <f>IF(ISBLANK(Term3_Day_2[[#This Row],[Activity]]),"",IF(_xlfn.XLOOKUP(Term3_Day_2[[#This Row],[Activity]],Types_of_Activity[Type of Activity],Types_of_Activity[Classification])=1,Term3_Day_2[[#This Row],[Elapsed]],0))</f>
        <v/>
      </c>
      <c r="N49" s="105" t="str">
        <f>IF(ISBLANK(Term3_Day_2[[#This Row],[Activity]]),"",IF(_xlfn.XLOOKUP(Term3_Day_2[[#This Row],[Activity]],Types_of_Activity[Type of Activity],Types_of_Activity[Classification])=2,Term3_Day_2[[#This Row],[Elapsed]],0))</f>
        <v/>
      </c>
      <c r="P49" s="135"/>
      <c r="Q49" s="135"/>
      <c r="R49" s="102"/>
      <c r="S49" s="105" t="str">
        <f>IF(OR(ISBLANK(Term3_Day_3[[#This Row],[Start]]),ISBLANK(Term3_Day_3[[#This Row],[End]])),"",(Term3_Day_3[[#This Row],[End]]-Term3_Day_3[[#This Row],[Start]])*1440)</f>
        <v/>
      </c>
      <c r="T49" s="105" t="str">
        <f>IF(ISBLANK(Term3_Day_3[[#This Row],[Activity]]),"",IF(_xlfn.XLOOKUP(Term3_Day_3[[#This Row],[Activity]],Types_of_Activity[Type of Activity],Types_of_Activity[Classification])=1,Term3_Day_3[[#This Row],[Elapsed]],0))</f>
        <v/>
      </c>
      <c r="U49" s="105" t="str">
        <f>IF(ISBLANK(Term3_Day_3[[#This Row],[Activity]]),"",IF(_xlfn.XLOOKUP(Term3_Day_3[[#This Row],[Activity]],Types_of_Activity[Type of Activity],Types_of_Activity[Classification])=2,Term3_Day_3[[#This Row],[Elapsed]],0))</f>
        <v/>
      </c>
      <c r="W49" s="135"/>
      <c r="X49" s="135"/>
      <c r="Y49" s="102"/>
      <c r="Z49" s="105" t="str">
        <f>IF(OR(ISBLANK(Term3_Day_4[[#This Row],[Start]]),ISBLANK(Term3_Day_4[[#This Row],[End]])),"",(Term3_Day_4[[#This Row],[End]]-Term3_Day_4[[#This Row],[Start]])*1440)</f>
        <v/>
      </c>
      <c r="AA49" s="105" t="str">
        <f>IF(ISBLANK(Term3_Day_4[[#This Row],[Activity]]),"",IF(_xlfn.XLOOKUP(Term3_Day_4[[#This Row],[Activity]],Types_of_Activity[Type of Activity],Types_of_Activity[Classification])=1,Term3_Day_4[[#This Row],[Elapsed]],0))</f>
        <v/>
      </c>
      <c r="AB49" s="105" t="str">
        <f>IF(ISBLANK(Term3_Day_4[[#This Row],[Activity]]),"",IF(_xlfn.XLOOKUP(Term3_Day_4[[#This Row],[Activity]],Types_of_Activity[Type of Activity],Types_of_Activity[Classification])=2,Term3_Day_4[[#This Row],[Elapsed]],0))</f>
        <v/>
      </c>
      <c r="AD49" s="135"/>
      <c r="AE49" s="135"/>
      <c r="AF49" s="102"/>
      <c r="AG49" s="105" t="str">
        <f>IF(OR(ISBLANK(Term3_Day_5[[#This Row],[Start]]),ISBLANK(Term3_Day_5[[#This Row],[End]])),"",(Term3_Day_5[[#This Row],[End]]-Term3_Day_5[[#This Row],[Start]])*1440)</f>
        <v/>
      </c>
      <c r="AH49" s="105" t="str">
        <f>IF(ISBLANK(Term3_Day_5[[#This Row],[Activity]]),"",IF(_xlfn.XLOOKUP(Term3_Day_5[[#This Row],[Activity]],Types_of_Activity[Type of Activity],Types_of_Activity[Classification])=1,Term3_Day_5[[#This Row],[Elapsed]],0))</f>
        <v/>
      </c>
      <c r="AI49" s="105" t="str">
        <f>IF(ISBLANK(Term3_Day_5[[#This Row],[Activity]]),"",IF(_xlfn.XLOOKUP(Term3_Day_5[[#This Row],[Activity]],Types_of_Activity[Type of Activity],Types_of_Activity[Classification])=2,Term3_Day_5[[#This Row],[Elapsed]],0))</f>
        <v/>
      </c>
      <c r="AJ49" s="106"/>
      <c r="AK49" s="135"/>
      <c r="AL49" s="135"/>
      <c r="AM49" s="102"/>
      <c r="AN49" s="105" t="str">
        <f>IF(OR(ISBLANK(Term3_Day_6[[#This Row],[Start]]),ISBLANK(Term3_Day_6[[#This Row],[End]])),"",(Term3_Day_6[[#This Row],[End]]-Term3_Day_6[[#This Row],[Start]])*1440)</f>
        <v/>
      </c>
      <c r="AO49" s="105" t="str">
        <f>IF(ISBLANK(Term3_Day_6[[#This Row],[Activity]]),"",IF(_xlfn.XLOOKUP(Term3_Day_6[[#This Row],[Activity]],Types_of_Activity[Type of Activity],Types_of_Activity[Classification])=1,Term3_Day_6[[#This Row],[Elapsed]],0))</f>
        <v/>
      </c>
      <c r="AP49" s="105" t="str">
        <f>IF(ISBLANK(Term3_Day_6[[#This Row],[Activity]]),"",IF(_xlfn.XLOOKUP(Term3_Day_6[[#This Row],[Activity]],Types_of_Activity[Type of Activity],Types_of_Activity[Classification])=2,Term3_Day_6[[#This Row],[Elapsed]],0))</f>
        <v/>
      </c>
      <c r="AQ49" s="106"/>
      <c r="AR49" s="135"/>
      <c r="AS49" s="135"/>
      <c r="AT49" s="102"/>
      <c r="AU49" s="105" t="str">
        <f>IF(OR(ISBLANK(Term3_Day_7[[#This Row],[Start]]),ISBLANK(Term3_Day_7[[#This Row],[End]])),"",(Term3_Day_7[[#This Row],[End]]-Term3_Day_7[[#This Row],[Start]])*1440)</f>
        <v/>
      </c>
      <c r="AV49" s="105" t="str">
        <f>IF(ISBLANK(Term3_Day_7[[#This Row],[Activity]]),"",IF(_xlfn.XLOOKUP(Term3_Day_7[[#This Row],[Activity]],Types_of_Activity[Type of Activity],Types_of_Activity[Classification])=1,Term3_Day_7[[#This Row],[Elapsed]],0))</f>
        <v/>
      </c>
      <c r="AW49" s="105" t="str">
        <f>IF(ISBLANK(Term3_Day_7[[#This Row],[Activity]]),"",IF(_xlfn.XLOOKUP(Term3_Day_7[[#This Row],[Activity]],Types_of_Activity[Type of Activity],Types_of_Activity[Classification])=2,Term3_Day_7[[#This Row],[Elapsed]],0))</f>
        <v/>
      </c>
      <c r="AX49" s="106"/>
      <c r="AY49" s="135"/>
      <c r="AZ49" s="135"/>
      <c r="BA49" s="102"/>
      <c r="BB49" s="105" t="str">
        <f>IF(OR(ISBLANK(Term3_Day_8[[#This Row],[Start]]),ISBLANK(Term3_Day_8[[#This Row],[End]])),"",(Term3_Day_8[[#This Row],[End]]-Term3_Day_8[[#This Row],[Start]])*1440)</f>
        <v/>
      </c>
      <c r="BC49" s="105" t="str">
        <f>IF(ISBLANK(Term3_Day_8[[#This Row],[Activity]]),"",IF(_xlfn.XLOOKUP(Term3_Day_8[[#This Row],[Activity]],Types_of_Activity[Type of Activity],Types_of_Activity[Classification])=1,Term3_Day_8[[#This Row],[Elapsed]],0))</f>
        <v/>
      </c>
      <c r="BD49" s="105" t="str">
        <f>IF(ISBLANK(Term3_Day_8[[#This Row],[Activity]]),"",IF(_xlfn.XLOOKUP(Term3_Day_8[[#This Row],[Activity]],Types_of_Activity[Type of Activity],Types_of_Activity[Classification])=2,Term3_Day_8[[#This Row],[Elapsed]],0))</f>
        <v/>
      </c>
      <c r="BE49" s="106"/>
      <c r="BF49" s="135"/>
      <c r="BG49" s="135"/>
      <c r="BH49" s="102"/>
      <c r="BI49" s="105" t="str">
        <f>IF(OR(ISBLANK(Term3_Day_9[[#This Row],[Start]]),ISBLANK(Term3_Day_9[[#This Row],[End]])),"",(Term3_Day_9[[#This Row],[End]]-Term3_Day_9[[#This Row],[Start]])*1440)</f>
        <v/>
      </c>
      <c r="BJ49" s="105" t="str">
        <f>IF(ISBLANK(Term3_Day_9[[#This Row],[Activity]]),"",IF(_xlfn.XLOOKUP(Term3_Day_9[[#This Row],[Activity]],Types_of_Activity[Type of Activity],Types_of_Activity[Classification])=1,Term3_Day_9[[#This Row],[Elapsed]],0))</f>
        <v/>
      </c>
      <c r="BK49" s="105" t="str">
        <f>IF(ISBLANK(Term3_Day_9[[#This Row],[Activity]]),"",IF(_xlfn.XLOOKUP(Term3_Day_9[[#This Row],[Activity]],Types_of_Activity[Type of Activity],Types_of_Activity[Classification])=2,Term3_Day_9[[#This Row],[Elapsed]],0))</f>
        <v/>
      </c>
      <c r="BL49" s="106"/>
      <c r="BM49" s="135"/>
      <c r="BN49" s="135"/>
      <c r="BO49" s="102"/>
      <c r="BP49" s="105" t="str">
        <f>IF(OR(ISBLANK(Term3_Day_10[[#This Row],[Start]]),ISBLANK(Term3_Day_10[[#This Row],[End]])),"",(Term3_Day_10[[#This Row],[End]]-Term3_Day_10[[#This Row],[Start]])*1440)</f>
        <v/>
      </c>
      <c r="BQ49" s="105" t="str">
        <f>IF(ISBLANK(Term3_Day_10[[#This Row],[Activity]]),"",IF(_xlfn.XLOOKUP(Term3_Day_10[[#This Row],[Activity]],Types_of_Activity[Type of Activity],Types_of_Activity[Classification])=1,Term3_Day_10[[#This Row],[Elapsed]],0))</f>
        <v/>
      </c>
      <c r="BR49" s="105" t="str">
        <f>IF(ISBLANK(Term3_Day_10[[#This Row],[Activity]]),"",IF(_xlfn.XLOOKUP(Term3_Day_10[[#This Row],[Activity]],Types_of_Activity[Type of Activity],Types_of_Activity[Classification])=2,Term3_Day_10[[#This Row],[Elapsed]],0))</f>
        <v/>
      </c>
      <c r="BS49" s="106"/>
    </row>
    <row r="50" spans="2:71" x14ac:dyDescent="0.3">
      <c r="B50" s="135"/>
      <c r="C50" s="135"/>
      <c r="D50" s="102"/>
      <c r="E50" s="105" t="str">
        <f>IF(OR(ISBLANK(Term3_Day_1[[#This Row],[Start]]),ISBLANK(Term3_Day_1[[#This Row],[End]])),"",(Term3_Day_1[[#This Row],[End]]-Term3_Day_1[[#This Row],[Start]])*1440)</f>
        <v/>
      </c>
      <c r="F50" s="105" t="str">
        <f>IF(ISBLANK(Term3_Day_1[[#This Row],[Activity]]),"",IF(_xlfn.XLOOKUP(Term3_Day_1[[#This Row],[Activity]],Types_of_Activity[Type of Activity],Types_of_Activity[Classification])=1,Term3_Day_1[[#This Row],[Elapsed]],0))</f>
        <v/>
      </c>
      <c r="G50" s="105" t="str">
        <f>IF(ISBLANK(Term3_Day_1[[#This Row],[Activity]]),"",IF(_xlfn.XLOOKUP(Term3_Day_1[[#This Row],[Activity]],Types_of_Activity[Type of Activity],Types_of_Activity[Classification])=2,Term3_Day_1[[#This Row],[Elapsed]],0))</f>
        <v/>
      </c>
      <c r="I50" s="135"/>
      <c r="J50" s="135"/>
      <c r="K50" s="102"/>
      <c r="L50" s="105" t="str">
        <f>IF(OR(ISBLANK(Term3_Day_2[[#This Row],[Start]]),ISBLANK(Term3_Day_2[[#This Row],[End]])),"",(Term3_Day_2[[#This Row],[End]]-Term3_Day_2[[#This Row],[Start]])*1440)</f>
        <v/>
      </c>
      <c r="M50" s="105" t="str">
        <f>IF(ISBLANK(Term3_Day_2[[#This Row],[Activity]]),"",IF(_xlfn.XLOOKUP(Term3_Day_2[[#This Row],[Activity]],Types_of_Activity[Type of Activity],Types_of_Activity[Classification])=1,Term3_Day_2[[#This Row],[Elapsed]],0))</f>
        <v/>
      </c>
      <c r="N50" s="105" t="str">
        <f>IF(ISBLANK(Term3_Day_2[[#This Row],[Activity]]),"",IF(_xlfn.XLOOKUP(Term3_Day_2[[#This Row],[Activity]],Types_of_Activity[Type of Activity],Types_of_Activity[Classification])=2,Term3_Day_2[[#This Row],[Elapsed]],0))</f>
        <v/>
      </c>
      <c r="P50" s="135"/>
      <c r="Q50" s="135"/>
      <c r="R50" s="102"/>
      <c r="S50" s="105" t="str">
        <f>IF(OR(ISBLANK(Term3_Day_3[[#This Row],[Start]]),ISBLANK(Term3_Day_3[[#This Row],[End]])),"",(Term3_Day_3[[#This Row],[End]]-Term3_Day_3[[#This Row],[Start]])*1440)</f>
        <v/>
      </c>
      <c r="T50" s="105" t="str">
        <f>IF(ISBLANK(Term3_Day_3[[#This Row],[Activity]]),"",IF(_xlfn.XLOOKUP(Term3_Day_3[[#This Row],[Activity]],Types_of_Activity[Type of Activity],Types_of_Activity[Classification])=1,Term3_Day_3[[#This Row],[Elapsed]],0))</f>
        <v/>
      </c>
      <c r="U50" s="105" t="str">
        <f>IF(ISBLANK(Term3_Day_3[[#This Row],[Activity]]),"",IF(_xlfn.XLOOKUP(Term3_Day_3[[#This Row],[Activity]],Types_of_Activity[Type of Activity],Types_of_Activity[Classification])=2,Term3_Day_3[[#This Row],[Elapsed]],0))</f>
        <v/>
      </c>
      <c r="W50" s="135"/>
      <c r="X50" s="135"/>
      <c r="Y50" s="102"/>
      <c r="Z50" s="105" t="str">
        <f>IF(OR(ISBLANK(Term3_Day_4[[#This Row],[Start]]),ISBLANK(Term3_Day_4[[#This Row],[End]])),"",(Term3_Day_4[[#This Row],[End]]-Term3_Day_4[[#This Row],[Start]])*1440)</f>
        <v/>
      </c>
      <c r="AA50" s="105" t="str">
        <f>IF(ISBLANK(Term3_Day_4[[#This Row],[Activity]]),"",IF(_xlfn.XLOOKUP(Term3_Day_4[[#This Row],[Activity]],Types_of_Activity[Type of Activity],Types_of_Activity[Classification])=1,Term3_Day_4[[#This Row],[Elapsed]],0))</f>
        <v/>
      </c>
      <c r="AB50" s="105" t="str">
        <f>IF(ISBLANK(Term3_Day_4[[#This Row],[Activity]]),"",IF(_xlfn.XLOOKUP(Term3_Day_4[[#This Row],[Activity]],Types_of_Activity[Type of Activity],Types_of_Activity[Classification])=2,Term3_Day_4[[#This Row],[Elapsed]],0))</f>
        <v/>
      </c>
      <c r="AD50" s="135"/>
      <c r="AE50" s="135"/>
      <c r="AF50" s="102"/>
      <c r="AG50" s="105" t="str">
        <f>IF(OR(ISBLANK(Term3_Day_5[[#This Row],[Start]]),ISBLANK(Term3_Day_5[[#This Row],[End]])),"",(Term3_Day_5[[#This Row],[End]]-Term3_Day_5[[#This Row],[Start]])*1440)</f>
        <v/>
      </c>
      <c r="AH50" s="105" t="str">
        <f>IF(ISBLANK(Term3_Day_5[[#This Row],[Activity]]),"",IF(_xlfn.XLOOKUP(Term3_Day_5[[#This Row],[Activity]],Types_of_Activity[Type of Activity],Types_of_Activity[Classification])=1,Term3_Day_5[[#This Row],[Elapsed]],0))</f>
        <v/>
      </c>
      <c r="AI50" s="105" t="str">
        <f>IF(ISBLANK(Term3_Day_5[[#This Row],[Activity]]),"",IF(_xlfn.XLOOKUP(Term3_Day_5[[#This Row],[Activity]],Types_of_Activity[Type of Activity],Types_of_Activity[Classification])=2,Term3_Day_5[[#This Row],[Elapsed]],0))</f>
        <v/>
      </c>
      <c r="AJ50" s="106"/>
      <c r="AK50" s="135"/>
      <c r="AL50" s="135"/>
      <c r="AM50" s="102"/>
      <c r="AN50" s="105" t="str">
        <f>IF(OR(ISBLANK(Term3_Day_6[[#This Row],[Start]]),ISBLANK(Term3_Day_6[[#This Row],[End]])),"",(Term3_Day_6[[#This Row],[End]]-Term3_Day_6[[#This Row],[Start]])*1440)</f>
        <v/>
      </c>
      <c r="AO50" s="105" t="str">
        <f>IF(ISBLANK(Term3_Day_6[[#This Row],[Activity]]),"",IF(_xlfn.XLOOKUP(Term3_Day_6[[#This Row],[Activity]],Types_of_Activity[Type of Activity],Types_of_Activity[Classification])=1,Term3_Day_6[[#This Row],[Elapsed]],0))</f>
        <v/>
      </c>
      <c r="AP50" s="105" t="str">
        <f>IF(ISBLANK(Term3_Day_6[[#This Row],[Activity]]),"",IF(_xlfn.XLOOKUP(Term3_Day_6[[#This Row],[Activity]],Types_of_Activity[Type of Activity],Types_of_Activity[Classification])=2,Term3_Day_6[[#This Row],[Elapsed]],0))</f>
        <v/>
      </c>
      <c r="AQ50" s="106"/>
      <c r="AR50" s="135"/>
      <c r="AS50" s="135"/>
      <c r="AT50" s="102"/>
      <c r="AU50" s="105" t="str">
        <f>IF(OR(ISBLANK(Term3_Day_7[[#This Row],[Start]]),ISBLANK(Term3_Day_7[[#This Row],[End]])),"",(Term3_Day_7[[#This Row],[End]]-Term3_Day_7[[#This Row],[Start]])*1440)</f>
        <v/>
      </c>
      <c r="AV50" s="105" t="str">
        <f>IF(ISBLANK(Term3_Day_7[[#This Row],[Activity]]),"",IF(_xlfn.XLOOKUP(Term3_Day_7[[#This Row],[Activity]],Types_of_Activity[Type of Activity],Types_of_Activity[Classification])=1,Term3_Day_7[[#This Row],[Elapsed]],0))</f>
        <v/>
      </c>
      <c r="AW50" s="105" t="str">
        <f>IF(ISBLANK(Term3_Day_7[[#This Row],[Activity]]),"",IF(_xlfn.XLOOKUP(Term3_Day_7[[#This Row],[Activity]],Types_of_Activity[Type of Activity],Types_of_Activity[Classification])=2,Term3_Day_7[[#This Row],[Elapsed]],0))</f>
        <v/>
      </c>
      <c r="AX50" s="106"/>
      <c r="AY50" s="135"/>
      <c r="AZ50" s="135"/>
      <c r="BA50" s="102"/>
      <c r="BB50" s="105" t="str">
        <f>IF(OR(ISBLANK(Term3_Day_8[[#This Row],[Start]]),ISBLANK(Term3_Day_8[[#This Row],[End]])),"",(Term3_Day_8[[#This Row],[End]]-Term3_Day_8[[#This Row],[Start]])*1440)</f>
        <v/>
      </c>
      <c r="BC50" s="105" t="str">
        <f>IF(ISBLANK(Term3_Day_8[[#This Row],[Activity]]),"",IF(_xlfn.XLOOKUP(Term3_Day_8[[#This Row],[Activity]],Types_of_Activity[Type of Activity],Types_of_Activity[Classification])=1,Term3_Day_8[[#This Row],[Elapsed]],0))</f>
        <v/>
      </c>
      <c r="BD50" s="105" t="str">
        <f>IF(ISBLANK(Term3_Day_8[[#This Row],[Activity]]),"",IF(_xlfn.XLOOKUP(Term3_Day_8[[#This Row],[Activity]],Types_of_Activity[Type of Activity],Types_of_Activity[Classification])=2,Term3_Day_8[[#This Row],[Elapsed]],0))</f>
        <v/>
      </c>
      <c r="BE50" s="106"/>
      <c r="BF50" s="135"/>
      <c r="BG50" s="135"/>
      <c r="BH50" s="102"/>
      <c r="BI50" s="105" t="str">
        <f>IF(OR(ISBLANK(Term3_Day_9[[#This Row],[Start]]),ISBLANK(Term3_Day_9[[#This Row],[End]])),"",(Term3_Day_9[[#This Row],[End]]-Term3_Day_9[[#This Row],[Start]])*1440)</f>
        <v/>
      </c>
      <c r="BJ50" s="105" t="str">
        <f>IF(ISBLANK(Term3_Day_9[[#This Row],[Activity]]),"",IF(_xlfn.XLOOKUP(Term3_Day_9[[#This Row],[Activity]],Types_of_Activity[Type of Activity],Types_of_Activity[Classification])=1,Term3_Day_9[[#This Row],[Elapsed]],0))</f>
        <v/>
      </c>
      <c r="BK50" s="105" t="str">
        <f>IF(ISBLANK(Term3_Day_9[[#This Row],[Activity]]),"",IF(_xlfn.XLOOKUP(Term3_Day_9[[#This Row],[Activity]],Types_of_Activity[Type of Activity],Types_of_Activity[Classification])=2,Term3_Day_9[[#This Row],[Elapsed]],0))</f>
        <v/>
      </c>
      <c r="BL50" s="106"/>
      <c r="BM50" s="135"/>
      <c r="BN50" s="135"/>
      <c r="BO50" s="102"/>
      <c r="BP50" s="105" t="str">
        <f>IF(OR(ISBLANK(Term3_Day_10[[#This Row],[Start]]),ISBLANK(Term3_Day_10[[#This Row],[End]])),"",(Term3_Day_10[[#This Row],[End]]-Term3_Day_10[[#This Row],[Start]])*1440)</f>
        <v/>
      </c>
      <c r="BQ50" s="105" t="str">
        <f>IF(ISBLANK(Term3_Day_10[[#This Row],[Activity]]),"",IF(_xlfn.XLOOKUP(Term3_Day_10[[#This Row],[Activity]],Types_of_Activity[Type of Activity],Types_of_Activity[Classification])=1,Term3_Day_10[[#This Row],[Elapsed]],0))</f>
        <v/>
      </c>
      <c r="BR50" s="105" t="str">
        <f>IF(ISBLANK(Term3_Day_10[[#This Row],[Activity]]),"",IF(_xlfn.XLOOKUP(Term3_Day_10[[#This Row],[Activity]],Types_of_Activity[Type of Activity],Types_of_Activity[Classification])=2,Term3_Day_10[[#This Row],[Elapsed]],0))</f>
        <v/>
      </c>
      <c r="BS50" s="106"/>
    </row>
    <row r="55" spans="2:71" ht="30.6" x14ac:dyDescent="0.55000000000000004">
      <c r="B55" s="104" t="s">
        <v>22</v>
      </c>
      <c r="F55" s="105"/>
      <c r="G55" s="105"/>
      <c r="H55"/>
      <c r="I55" s="104" t="s">
        <v>23</v>
      </c>
      <c r="M55" s="105"/>
      <c r="N55" s="105"/>
      <c r="O55"/>
      <c r="P55" s="104" t="s">
        <v>24</v>
      </c>
      <c r="T55" s="105"/>
      <c r="U55" s="105"/>
      <c r="W55" s="104" t="s">
        <v>4108</v>
      </c>
      <c r="AA55" s="105"/>
      <c r="AB55" s="105"/>
      <c r="AD55" s="104" t="s">
        <v>4109</v>
      </c>
      <c r="AH55" s="105"/>
      <c r="AI55" s="105"/>
      <c r="AK55" s="104" t="s">
        <v>4110</v>
      </c>
      <c r="AO55" s="105"/>
      <c r="AP55" s="105"/>
    </row>
    <row r="56" spans="2:71" ht="28.8" x14ac:dyDescent="0.3">
      <c r="B56" s="119" t="s">
        <v>16</v>
      </c>
      <c r="C56" s="119" t="s">
        <v>17</v>
      </c>
      <c r="D56" s="119" t="s">
        <v>19</v>
      </c>
      <c r="E56" s="119" t="s">
        <v>18</v>
      </c>
      <c r="F56" s="119" t="s">
        <v>20</v>
      </c>
      <c r="G56" s="120" t="s">
        <v>4075</v>
      </c>
      <c r="H56"/>
      <c r="I56" s="119" t="s">
        <v>16</v>
      </c>
      <c r="J56" s="119" t="s">
        <v>17</v>
      </c>
      <c r="K56" s="119" t="s">
        <v>19</v>
      </c>
      <c r="L56" s="119" t="s">
        <v>18</v>
      </c>
      <c r="M56" s="119" t="s">
        <v>20</v>
      </c>
      <c r="N56" s="120" t="s">
        <v>4075</v>
      </c>
      <c r="O56"/>
      <c r="P56" s="119" t="s">
        <v>16</v>
      </c>
      <c r="Q56" s="119" t="s">
        <v>17</v>
      </c>
      <c r="R56" s="119" t="s">
        <v>19</v>
      </c>
      <c r="S56" s="119" t="s">
        <v>18</v>
      </c>
      <c r="T56" s="119" t="s">
        <v>20</v>
      </c>
      <c r="U56" s="120" t="s">
        <v>4075</v>
      </c>
      <c r="W56" s="119" t="s">
        <v>16</v>
      </c>
      <c r="X56" s="119" t="s">
        <v>17</v>
      </c>
      <c r="Y56" s="119" t="s">
        <v>19</v>
      </c>
      <c r="Z56" s="119" t="s">
        <v>18</v>
      </c>
      <c r="AA56" s="119" t="s">
        <v>20</v>
      </c>
      <c r="AB56" s="120" t="s">
        <v>4075</v>
      </c>
      <c r="AD56" s="119" t="s">
        <v>16</v>
      </c>
      <c r="AE56" s="119" t="s">
        <v>17</v>
      </c>
      <c r="AF56" s="119" t="s">
        <v>19</v>
      </c>
      <c r="AG56" s="119" t="s">
        <v>18</v>
      </c>
      <c r="AH56" s="119" t="s">
        <v>20</v>
      </c>
      <c r="AI56" s="120" t="s">
        <v>4075</v>
      </c>
      <c r="AK56" s="119" t="s">
        <v>16</v>
      </c>
      <c r="AL56" s="119" t="s">
        <v>17</v>
      </c>
      <c r="AM56" s="119" t="s">
        <v>19</v>
      </c>
      <c r="AN56" s="119" t="s">
        <v>18</v>
      </c>
      <c r="AO56" s="119" t="s">
        <v>20</v>
      </c>
      <c r="AP56" s="120" t="s">
        <v>4075</v>
      </c>
    </row>
    <row r="57" spans="2:71" x14ac:dyDescent="0.3">
      <c r="B57" s="135"/>
      <c r="C57" s="135"/>
      <c r="D57" s="102"/>
      <c r="E57" s="105" t="str">
        <f>IF(OR(ISBLANK(Term3_Early_Dismissal_1[[#This Row],[Start]]),ISBLANK(Term3_Early_Dismissal_1[[#This Row],[End]])),"",(Term3_Early_Dismissal_1[[#This Row],[End]]-Term3_Early_Dismissal_1[[#This Row],[Start]])*1440)</f>
        <v/>
      </c>
      <c r="F57" s="105" t="str">
        <f>IF(ISBLANK(Term3_Early_Dismissal_1[[#This Row],[Activity]]),"",IF(_xlfn.XLOOKUP(Term3_Early_Dismissal_1[[#This Row],[Activity]],Types_of_Activity[Type of Activity],Types_of_Activity[Classification])=1,Term3_Early_Dismissal_1[[#This Row],[Elapsed]],0))</f>
        <v/>
      </c>
      <c r="G57" s="105" t="str">
        <f>IF(ISBLANK(Term3_Early_Dismissal_1[[#This Row],[Activity]]),"",IF(_xlfn.XLOOKUP(Term3_Early_Dismissal_1[[#This Row],[Activity]],Types_of_Activity[Type of Activity],Types_of_Activity[Classification])=2,Term3_Early_Dismissal_1[[#This Row],[Elapsed]],0))</f>
        <v/>
      </c>
      <c r="H57"/>
      <c r="I57" s="135"/>
      <c r="J57" s="135"/>
      <c r="K57" s="102"/>
      <c r="L57" s="105" t="str">
        <f>IF(OR(ISBLANK(Term3_Early_Dismissal_2[[#This Row],[Start]]),ISBLANK(Term3_Early_Dismissal_2[[#This Row],[End]])),"",(Term3_Early_Dismissal_2[[#This Row],[End]]-Term3_Early_Dismissal_2[[#This Row],[Start]])*1440)</f>
        <v/>
      </c>
      <c r="M57" s="105" t="str">
        <f>IF(ISBLANK(Term3_Early_Dismissal_2[[#This Row],[Activity]]),"",IF(_xlfn.XLOOKUP(Term3_Early_Dismissal_2[[#This Row],[Activity]],Types_of_Activity[Type of Activity],Types_of_Activity[Classification])=1,Term3_Early_Dismissal_2[[#This Row],[Elapsed]],0))</f>
        <v/>
      </c>
      <c r="N57" s="105" t="str">
        <f>IF(ISBLANK(Term3_Early_Dismissal_2[[#This Row],[Activity]]),"",IF(_xlfn.XLOOKUP(Term3_Early_Dismissal_2[[#This Row],[Activity]],Types_of_Activity[Type of Activity],Types_of_Activity[Classification])=2,Term3_Early_Dismissal_2[[#This Row],[Elapsed]],0))</f>
        <v/>
      </c>
      <c r="O57"/>
      <c r="P57" s="135"/>
      <c r="Q57" s="135"/>
      <c r="R57" s="102"/>
      <c r="S57" s="105" t="str">
        <f>IF(OR(ISBLANK(Term3_Early_Dismissal_3[[#This Row],[Start]]),ISBLANK(Term3_Early_Dismissal_3[[#This Row],[End]])),"",(Term3_Early_Dismissal_3[[#This Row],[End]]-Term3_Early_Dismissal_3[[#This Row],[Start]])*1440)</f>
        <v/>
      </c>
      <c r="T57" s="105" t="str">
        <f>IF(ISBLANK(Term3_Early_Dismissal_3[[#This Row],[Activity]]),"",IF(_xlfn.XLOOKUP(Term3_Early_Dismissal_3[[#This Row],[Activity]],Types_of_Activity[Type of Activity],Types_of_Activity[Classification])=1,Term3_Early_Dismissal_3[[#This Row],[Elapsed]],0))</f>
        <v/>
      </c>
      <c r="U57" s="105" t="str">
        <f>IF(ISBLANK(Term3_Early_Dismissal_3[[#This Row],[Activity]]),"",IF(_xlfn.XLOOKUP(Term3_Early_Dismissal_3[[#This Row],[Activity]],Types_of_Activity[Type of Activity],Types_of_Activity[Classification])=2,Term3_Early_Dismissal_3[[#This Row],[Elapsed]],0))</f>
        <v/>
      </c>
      <c r="W57" s="135"/>
      <c r="X57" s="135"/>
      <c r="Y57" s="102"/>
      <c r="Z57" s="105" t="str">
        <f>IF(OR(ISBLANK(Term3_Early_Dismissal_4[[#This Row],[Start]]),ISBLANK(Term3_Early_Dismissal_4[[#This Row],[End]])),"",(Term3_Early_Dismissal_4[[#This Row],[End]]-Term3_Early_Dismissal_4[[#This Row],[Start]])*1440)</f>
        <v/>
      </c>
      <c r="AA57" s="105" t="str">
        <f>IF(ISBLANK(Term3_Early_Dismissal_4[[#This Row],[Activity]]),"",IF(_xlfn.XLOOKUP(Term3_Early_Dismissal_4[[#This Row],[Activity]],Types_of_Activity[Type of Activity],Types_of_Activity[Classification])=1,Term3_Early_Dismissal_4[[#This Row],[Elapsed]],0))</f>
        <v/>
      </c>
      <c r="AB57" s="105" t="str">
        <f>IF(ISBLANK(Term3_Early_Dismissal_4[[#This Row],[Activity]]),"",IF(_xlfn.XLOOKUP(Term3_Early_Dismissal_4[[#This Row],[Activity]],Types_of_Activity[Type of Activity],Types_of_Activity[Classification])=2,Term3_Early_Dismissal_4[[#This Row],[Elapsed]],0))</f>
        <v/>
      </c>
      <c r="AD57" s="135"/>
      <c r="AE57" s="135"/>
      <c r="AF57" s="102"/>
      <c r="AG57" s="105" t="str">
        <f>IF(OR(ISBLANK(Term3_Early_Dismissal_5[[#This Row],[Start]]),ISBLANK(Term3_Early_Dismissal_5[[#This Row],[End]])),"",(Term3_Early_Dismissal_5[[#This Row],[End]]-Term3_Early_Dismissal_5[[#This Row],[Start]])*1440)</f>
        <v/>
      </c>
      <c r="AH57" s="105" t="str">
        <f>IF(ISBLANK(Term3_Early_Dismissal_5[[#This Row],[Activity]]),"",IF(_xlfn.XLOOKUP(Term3_Early_Dismissal_5[[#This Row],[Activity]],Types_of_Activity[Type of Activity],Types_of_Activity[Classification])=1,Term3_Early_Dismissal_5[[#This Row],[Elapsed]],0))</f>
        <v/>
      </c>
      <c r="AI57" s="105" t="str">
        <f>IF(ISBLANK(Term3_Early_Dismissal_5[[#This Row],[Activity]]),"",IF(_xlfn.XLOOKUP(Term3_Early_Dismissal_5[[#This Row],[Activity]],Types_of_Activity[Type of Activity],Types_of_Activity[Classification])=2,Term3_Early_Dismissal_5[[#This Row],[Elapsed]],0))</f>
        <v/>
      </c>
      <c r="AK57" s="135"/>
      <c r="AL57" s="135"/>
      <c r="AM57" s="102"/>
      <c r="AN57" s="105" t="str">
        <f>IF(OR(ISBLANK(Term3_Early_Dismissal_6[[#This Row],[Start]]),ISBLANK(Term3_Early_Dismissal_6[[#This Row],[End]])),"",(Term3_Early_Dismissal_6[[#This Row],[End]]-Term3_Early_Dismissal_6[[#This Row],[Start]])*1440)</f>
        <v/>
      </c>
      <c r="AO57" s="105" t="str">
        <f>IF(ISBLANK(Term3_Early_Dismissal_6[[#This Row],[Activity]]),"",IF(_xlfn.XLOOKUP(Term3_Early_Dismissal_6[[#This Row],[Activity]],Types_of_Activity[Type of Activity],Types_of_Activity[Classification])=1,Term3_Early_Dismissal_6[[#This Row],[Elapsed]],0))</f>
        <v/>
      </c>
      <c r="AP57" s="105" t="str">
        <f>IF(ISBLANK(Term3_Early_Dismissal_6[[#This Row],[Activity]]),"",IF(_xlfn.XLOOKUP(Term3_Early_Dismissal_6[[#This Row],[Activity]],Types_of_Activity[Type of Activity],Types_of_Activity[Classification])=2,Term3_Early_Dismissal_6[[#This Row],[Elapsed]],0))</f>
        <v/>
      </c>
    </row>
    <row r="58" spans="2:71" x14ac:dyDescent="0.3">
      <c r="B58" s="135"/>
      <c r="C58" s="135"/>
      <c r="D58" s="102"/>
      <c r="E58" s="105" t="str">
        <f>IF(OR(ISBLANK(Term3_Early_Dismissal_1[[#This Row],[Start]]),ISBLANK(Term3_Early_Dismissal_1[[#This Row],[End]])),"",(Term3_Early_Dismissal_1[[#This Row],[End]]-Term3_Early_Dismissal_1[[#This Row],[Start]])*1440)</f>
        <v/>
      </c>
      <c r="F58" s="105" t="str">
        <f>IF(ISBLANK(Term3_Early_Dismissal_1[[#This Row],[Activity]]),"",IF(_xlfn.XLOOKUP(Term3_Early_Dismissal_1[[#This Row],[Activity]],Types_of_Activity[Type of Activity],Types_of_Activity[Classification])=1,Term3_Early_Dismissal_1[[#This Row],[Elapsed]],0))</f>
        <v/>
      </c>
      <c r="G58" s="105" t="str">
        <f>IF(ISBLANK(Term3_Early_Dismissal_1[[#This Row],[Activity]]),"",IF(_xlfn.XLOOKUP(Term3_Early_Dismissal_1[[#This Row],[Activity]],Types_of_Activity[Type of Activity],Types_of_Activity[Classification])=2,Term3_Early_Dismissal_1[[#This Row],[Elapsed]],0))</f>
        <v/>
      </c>
      <c r="H58"/>
      <c r="I58" s="135"/>
      <c r="J58" s="135"/>
      <c r="K58" s="102"/>
      <c r="L58" s="105" t="str">
        <f>IF(OR(ISBLANK(Term3_Early_Dismissal_2[[#This Row],[Start]]),ISBLANK(Term3_Early_Dismissal_2[[#This Row],[End]])),"",(Term3_Early_Dismissal_2[[#This Row],[End]]-Term3_Early_Dismissal_2[[#This Row],[Start]])*1440)</f>
        <v/>
      </c>
      <c r="M58" s="105" t="str">
        <f>IF(ISBLANK(Term3_Early_Dismissal_2[[#This Row],[Activity]]),"",IF(_xlfn.XLOOKUP(Term3_Early_Dismissal_2[[#This Row],[Activity]],Types_of_Activity[Type of Activity],Types_of_Activity[Classification])=1,Term3_Early_Dismissal_2[[#This Row],[Elapsed]],0))</f>
        <v/>
      </c>
      <c r="N58" s="105" t="str">
        <f>IF(ISBLANK(Term3_Early_Dismissal_2[[#This Row],[Activity]]),"",IF(_xlfn.XLOOKUP(Term3_Early_Dismissal_2[[#This Row],[Activity]],Types_of_Activity[Type of Activity],Types_of_Activity[Classification])=2,Term3_Early_Dismissal_2[[#This Row],[Elapsed]],0))</f>
        <v/>
      </c>
      <c r="O58"/>
      <c r="P58" s="135"/>
      <c r="Q58" s="135"/>
      <c r="R58" s="102"/>
      <c r="S58" s="105" t="str">
        <f>IF(OR(ISBLANK(Term3_Early_Dismissal_3[[#This Row],[Start]]),ISBLANK(Term3_Early_Dismissal_3[[#This Row],[End]])),"",(Term3_Early_Dismissal_3[[#This Row],[End]]-Term3_Early_Dismissal_3[[#This Row],[Start]])*1440)</f>
        <v/>
      </c>
      <c r="T58" s="105" t="str">
        <f>IF(ISBLANK(Term3_Early_Dismissal_3[[#This Row],[Activity]]),"",IF(_xlfn.XLOOKUP(Term3_Early_Dismissal_3[[#This Row],[Activity]],Types_of_Activity[Type of Activity],Types_of_Activity[Classification])=1,Term3_Early_Dismissal_3[[#This Row],[Elapsed]],0))</f>
        <v/>
      </c>
      <c r="U58" s="105" t="str">
        <f>IF(ISBLANK(Term3_Early_Dismissal_3[[#This Row],[Activity]]),"",IF(_xlfn.XLOOKUP(Term3_Early_Dismissal_3[[#This Row],[Activity]],Types_of_Activity[Type of Activity],Types_of_Activity[Classification])=2,Term3_Early_Dismissal_3[[#This Row],[Elapsed]],0))</f>
        <v/>
      </c>
      <c r="W58" s="135"/>
      <c r="X58" s="135"/>
      <c r="Y58" s="102"/>
      <c r="Z58" s="105" t="str">
        <f>IF(OR(ISBLANK(Term3_Early_Dismissal_4[[#This Row],[Start]]),ISBLANK(Term3_Early_Dismissal_4[[#This Row],[End]])),"",(Term3_Early_Dismissal_4[[#This Row],[End]]-Term3_Early_Dismissal_4[[#This Row],[Start]])*1440)</f>
        <v/>
      </c>
      <c r="AA58" s="105" t="str">
        <f>IF(ISBLANK(Term3_Early_Dismissal_4[[#This Row],[Activity]]),"",IF(_xlfn.XLOOKUP(Term3_Early_Dismissal_4[[#This Row],[Activity]],Types_of_Activity[Type of Activity],Types_of_Activity[Classification])=1,Term3_Early_Dismissal_4[[#This Row],[Elapsed]],0))</f>
        <v/>
      </c>
      <c r="AB58" s="105" t="str">
        <f>IF(ISBLANK(Term3_Early_Dismissal_4[[#This Row],[Activity]]),"",IF(_xlfn.XLOOKUP(Term3_Early_Dismissal_4[[#This Row],[Activity]],Types_of_Activity[Type of Activity],Types_of_Activity[Classification])=2,Term3_Early_Dismissal_4[[#This Row],[Elapsed]],0))</f>
        <v/>
      </c>
      <c r="AD58" s="135"/>
      <c r="AE58" s="135"/>
      <c r="AF58" s="102"/>
      <c r="AG58" s="105" t="str">
        <f>IF(OR(ISBLANK(Term3_Early_Dismissal_5[[#This Row],[Start]]),ISBLANK(Term3_Early_Dismissal_5[[#This Row],[End]])),"",(Term3_Early_Dismissal_5[[#This Row],[End]]-Term3_Early_Dismissal_5[[#This Row],[Start]])*1440)</f>
        <v/>
      </c>
      <c r="AH58" s="105" t="str">
        <f>IF(ISBLANK(Term3_Early_Dismissal_5[[#This Row],[Activity]]),"",IF(_xlfn.XLOOKUP(Term3_Early_Dismissal_5[[#This Row],[Activity]],Types_of_Activity[Type of Activity],Types_of_Activity[Classification])=1,Term3_Early_Dismissal_5[[#This Row],[Elapsed]],0))</f>
        <v/>
      </c>
      <c r="AI58" s="105" t="str">
        <f>IF(ISBLANK(Term3_Early_Dismissal_5[[#This Row],[Activity]]),"",IF(_xlfn.XLOOKUP(Term3_Early_Dismissal_5[[#This Row],[Activity]],Types_of_Activity[Type of Activity],Types_of_Activity[Classification])=2,Term3_Early_Dismissal_5[[#This Row],[Elapsed]],0))</f>
        <v/>
      </c>
      <c r="AK58" s="135"/>
      <c r="AL58" s="135"/>
      <c r="AM58" s="102"/>
      <c r="AN58" s="105" t="str">
        <f>IF(OR(ISBLANK(Term3_Early_Dismissal_6[[#This Row],[Start]]),ISBLANK(Term3_Early_Dismissal_6[[#This Row],[End]])),"",(Term3_Early_Dismissal_6[[#This Row],[End]]-Term3_Early_Dismissal_6[[#This Row],[Start]])*1440)</f>
        <v/>
      </c>
      <c r="AO58" s="105" t="str">
        <f>IF(ISBLANK(Term3_Early_Dismissal_6[[#This Row],[Activity]]),"",IF(_xlfn.XLOOKUP(Term3_Early_Dismissal_6[[#This Row],[Activity]],Types_of_Activity[Type of Activity],Types_of_Activity[Classification])=1,Term3_Early_Dismissal_6[[#This Row],[Elapsed]],0))</f>
        <v/>
      </c>
      <c r="AP58" s="105" t="str">
        <f>IF(ISBLANK(Term3_Early_Dismissal_6[[#This Row],[Activity]]),"",IF(_xlfn.XLOOKUP(Term3_Early_Dismissal_6[[#This Row],[Activity]],Types_of_Activity[Type of Activity],Types_of_Activity[Classification])=2,Term3_Early_Dismissal_6[[#This Row],[Elapsed]],0))</f>
        <v/>
      </c>
    </row>
    <row r="59" spans="2:71" x14ac:dyDescent="0.3">
      <c r="B59" s="135"/>
      <c r="C59" s="135"/>
      <c r="D59" s="102"/>
      <c r="E59" s="105" t="str">
        <f>IF(OR(ISBLANK(Term3_Early_Dismissal_1[[#This Row],[Start]]),ISBLANK(Term3_Early_Dismissal_1[[#This Row],[End]])),"",(Term3_Early_Dismissal_1[[#This Row],[End]]-Term3_Early_Dismissal_1[[#This Row],[Start]])*1440)</f>
        <v/>
      </c>
      <c r="F59" s="105" t="str">
        <f>IF(ISBLANK(Term3_Early_Dismissal_1[[#This Row],[Activity]]),"",IF(_xlfn.XLOOKUP(Term3_Early_Dismissal_1[[#This Row],[Activity]],Types_of_Activity[Type of Activity],Types_of_Activity[Classification])=1,Term3_Early_Dismissal_1[[#This Row],[Elapsed]],0))</f>
        <v/>
      </c>
      <c r="G59" s="105" t="str">
        <f>IF(ISBLANK(Term3_Early_Dismissal_1[[#This Row],[Activity]]),"",IF(_xlfn.XLOOKUP(Term3_Early_Dismissal_1[[#This Row],[Activity]],Types_of_Activity[Type of Activity],Types_of_Activity[Classification])=2,Term3_Early_Dismissal_1[[#This Row],[Elapsed]],0))</f>
        <v/>
      </c>
      <c r="H59"/>
      <c r="I59" s="135"/>
      <c r="J59" s="135"/>
      <c r="K59" s="102"/>
      <c r="L59" s="105" t="str">
        <f>IF(OR(ISBLANK(Term3_Early_Dismissal_2[[#This Row],[Start]]),ISBLANK(Term3_Early_Dismissal_2[[#This Row],[End]])),"",(Term3_Early_Dismissal_2[[#This Row],[End]]-Term3_Early_Dismissal_2[[#This Row],[Start]])*1440)</f>
        <v/>
      </c>
      <c r="M59" s="105" t="str">
        <f>IF(ISBLANK(Term3_Early_Dismissal_2[[#This Row],[Activity]]),"",IF(_xlfn.XLOOKUP(Term3_Early_Dismissal_2[[#This Row],[Activity]],Types_of_Activity[Type of Activity],Types_of_Activity[Classification])=1,Term3_Early_Dismissal_2[[#This Row],[Elapsed]],0))</f>
        <v/>
      </c>
      <c r="N59" s="105" t="str">
        <f>IF(ISBLANK(Term3_Early_Dismissal_2[[#This Row],[Activity]]),"",IF(_xlfn.XLOOKUP(Term3_Early_Dismissal_2[[#This Row],[Activity]],Types_of_Activity[Type of Activity],Types_of_Activity[Classification])=2,Term3_Early_Dismissal_2[[#This Row],[Elapsed]],0))</f>
        <v/>
      </c>
      <c r="O59"/>
      <c r="P59" s="135"/>
      <c r="Q59" s="135"/>
      <c r="R59" s="102"/>
      <c r="S59" s="105" t="str">
        <f>IF(OR(ISBLANK(Term3_Early_Dismissal_3[[#This Row],[Start]]),ISBLANK(Term3_Early_Dismissal_3[[#This Row],[End]])),"",(Term3_Early_Dismissal_3[[#This Row],[End]]-Term3_Early_Dismissal_3[[#This Row],[Start]])*1440)</f>
        <v/>
      </c>
      <c r="T59" s="105" t="str">
        <f>IF(ISBLANK(Term3_Early_Dismissal_3[[#This Row],[Activity]]),"",IF(_xlfn.XLOOKUP(Term3_Early_Dismissal_3[[#This Row],[Activity]],Types_of_Activity[Type of Activity],Types_of_Activity[Classification])=1,Term3_Early_Dismissal_3[[#This Row],[Elapsed]],0))</f>
        <v/>
      </c>
      <c r="U59" s="105" t="str">
        <f>IF(ISBLANK(Term3_Early_Dismissal_3[[#This Row],[Activity]]),"",IF(_xlfn.XLOOKUP(Term3_Early_Dismissal_3[[#This Row],[Activity]],Types_of_Activity[Type of Activity],Types_of_Activity[Classification])=2,Term3_Early_Dismissal_3[[#This Row],[Elapsed]],0))</f>
        <v/>
      </c>
      <c r="W59" s="135"/>
      <c r="X59" s="135"/>
      <c r="Y59" s="102"/>
      <c r="Z59" s="105" t="str">
        <f>IF(OR(ISBLANK(Term3_Early_Dismissal_4[[#This Row],[Start]]),ISBLANK(Term3_Early_Dismissal_4[[#This Row],[End]])),"",(Term3_Early_Dismissal_4[[#This Row],[End]]-Term3_Early_Dismissal_4[[#This Row],[Start]])*1440)</f>
        <v/>
      </c>
      <c r="AA59" s="105" t="str">
        <f>IF(ISBLANK(Term3_Early_Dismissal_4[[#This Row],[Activity]]),"",IF(_xlfn.XLOOKUP(Term3_Early_Dismissal_4[[#This Row],[Activity]],Types_of_Activity[Type of Activity],Types_of_Activity[Classification])=1,Term3_Early_Dismissal_4[[#This Row],[Elapsed]],0))</f>
        <v/>
      </c>
      <c r="AB59" s="105" t="str">
        <f>IF(ISBLANK(Term3_Early_Dismissal_4[[#This Row],[Activity]]),"",IF(_xlfn.XLOOKUP(Term3_Early_Dismissal_4[[#This Row],[Activity]],Types_of_Activity[Type of Activity],Types_of_Activity[Classification])=2,Term3_Early_Dismissal_4[[#This Row],[Elapsed]],0))</f>
        <v/>
      </c>
      <c r="AD59" s="135"/>
      <c r="AE59" s="135"/>
      <c r="AF59" s="102"/>
      <c r="AG59" s="105" t="str">
        <f>IF(OR(ISBLANK(Term3_Early_Dismissal_5[[#This Row],[Start]]),ISBLANK(Term3_Early_Dismissal_5[[#This Row],[End]])),"",(Term3_Early_Dismissal_5[[#This Row],[End]]-Term3_Early_Dismissal_5[[#This Row],[Start]])*1440)</f>
        <v/>
      </c>
      <c r="AH59" s="105" t="str">
        <f>IF(ISBLANK(Term3_Early_Dismissal_5[[#This Row],[Activity]]),"",IF(_xlfn.XLOOKUP(Term3_Early_Dismissal_5[[#This Row],[Activity]],Types_of_Activity[Type of Activity],Types_of_Activity[Classification])=1,Term3_Early_Dismissal_5[[#This Row],[Elapsed]],0))</f>
        <v/>
      </c>
      <c r="AI59" s="105" t="str">
        <f>IF(ISBLANK(Term3_Early_Dismissal_5[[#This Row],[Activity]]),"",IF(_xlfn.XLOOKUP(Term3_Early_Dismissal_5[[#This Row],[Activity]],Types_of_Activity[Type of Activity],Types_of_Activity[Classification])=2,Term3_Early_Dismissal_5[[#This Row],[Elapsed]],0))</f>
        <v/>
      </c>
      <c r="AK59" s="135"/>
      <c r="AL59" s="135"/>
      <c r="AM59" s="102"/>
      <c r="AN59" s="105" t="str">
        <f>IF(OR(ISBLANK(Term3_Early_Dismissal_6[[#This Row],[Start]]),ISBLANK(Term3_Early_Dismissal_6[[#This Row],[End]])),"",(Term3_Early_Dismissal_6[[#This Row],[End]]-Term3_Early_Dismissal_6[[#This Row],[Start]])*1440)</f>
        <v/>
      </c>
      <c r="AO59" s="105" t="str">
        <f>IF(ISBLANK(Term3_Early_Dismissal_6[[#This Row],[Activity]]),"",IF(_xlfn.XLOOKUP(Term3_Early_Dismissal_6[[#This Row],[Activity]],Types_of_Activity[Type of Activity],Types_of_Activity[Classification])=1,Term3_Early_Dismissal_6[[#This Row],[Elapsed]],0))</f>
        <v/>
      </c>
      <c r="AP59" s="105" t="str">
        <f>IF(ISBLANK(Term3_Early_Dismissal_6[[#This Row],[Activity]]),"",IF(_xlfn.XLOOKUP(Term3_Early_Dismissal_6[[#This Row],[Activity]],Types_of_Activity[Type of Activity],Types_of_Activity[Classification])=2,Term3_Early_Dismissal_6[[#This Row],[Elapsed]],0))</f>
        <v/>
      </c>
    </row>
    <row r="60" spans="2:71" x14ac:dyDescent="0.3">
      <c r="B60" s="135"/>
      <c r="C60" s="135"/>
      <c r="D60" s="102"/>
      <c r="E60" s="105" t="str">
        <f>IF(OR(ISBLANK(Term3_Early_Dismissal_1[[#This Row],[Start]]),ISBLANK(Term3_Early_Dismissal_1[[#This Row],[End]])),"",(Term3_Early_Dismissal_1[[#This Row],[End]]-Term3_Early_Dismissal_1[[#This Row],[Start]])*1440)</f>
        <v/>
      </c>
      <c r="F60" s="105" t="str">
        <f>IF(ISBLANK(Term3_Early_Dismissal_1[[#This Row],[Activity]]),"",IF(_xlfn.XLOOKUP(Term3_Early_Dismissal_1[[#This Row],[Activity]],Types_of_Activity[Type of Activity],Types_of_Activity[Classification])=1,Term3_Early_Dismissal_1[[#This Row],[Elapsed]],0))</f>
        <v/>
      </c>
      <c r="G60" s="105" t="str">
        <f>IF(ISBLANK(Term3_Early_Dismissal_1[[#This Row],[Activity]]),"",IF(_xlfn.XLOOKUP(Term3_Early_Dismissal_1[[#This Row],[Activity]],Types_of_Activity[Type of Activity],Types_of_Activity[Classification])=2,Term3_Early_Dismissal_1[[#This Row],[Elapsed]],0))</f>
        <v/>
      </c>
      <c r="H60"/>
      <c r="I60" s="135"/>
      <c r="J60" s="135"/>
      <c r="K60" s="102"/>
      <c r="L60" s="105" t="str">
        <f>IF(OR(ISBLANK(Term3_Early_Dismissal_2[[#This Row],[Start]]),ISBLANK(Term3_Early_Dismissal_2[[#This Row],[End]])),"",(Term3_Early_Dismissal_2[[#This Row],[End]]-Term3_Early_Dismissal_2[[#This Row],[Start]])*1440)</f>
        <v/>
      </c>
      <c r="M60" s="105" t="str">
        <f>IF(ISBLANK(Term3_Early_Dismissal_2[[#This Row],[Activity]]),"",IF(_xlfn.XLOOKUP(Term3_Early_Dismissal_2[[#This Row],[Activity]],Types_of_Activity[Type of Activity],Types_of_Activity[Classification])=1,Term3_Early_Dismissal_2[[#This Row],[Elapsed]],0))</f>
        <v/>
      </c>
      <c r="N60" s="105" t="str">
        <f>IF(ISBLANK(Term3_Early_Dismissal_2[[#This Row],[Activity]]),"",IF(_xlfn.XLOOKUP(Term3_Early_Dismissal_2[[#This Row],[Activity]],Types_of_Activity[Type of Activity],Types_of_Activity[Classification])=2,Term3_Early_Dismissal_2[[#This Row],[Elapsed]],0))</f>
        <v/>
      </c>
      <c r="O60"/>
      <c r="P60" s="135"/>
      <c r="Q60" s="135"/>
      <c r="R60" s="102"/>
      <c r="S60" s="105" t="str">
        <f>IF(OR(ISBLANK(Term3_Early_Dismissal_3[[#This Row],[Start]]),ISBLANK(Term3_Early_Dismissal_3[[#This Row],[End]])),"",(Term3_Early_Dismissal_3[[#This Row],[End]]-Term3_Early_Dismissal_3[[#This Row],[Start]])*1440)</f>
        <v/>
      </c>
      <c r="T60" s="105" t="str">
        <f>IF(ISBLANK(Term3_Early_Dismissal_3[[#This Row],[Activity]]),"",IF(_xlfn.XLOOKUP(Term3_Early_Dismissal_3[[#This Row],[Activity]],Types_of_Activity[Type of Activity],Types_of_Activity[Classification])=1,Term3_Early_Dismissal_3[[#This Row],[Elapsed]],0))</f>
        <v/>
      </c>
      <c r="U60" s="105" t="str">
        <f>IF(ISBLANK(Term3_Early_Dismissal_3[[#This Row],[Activity]]),"",IF(_xlfn.XLOOKUP(Term3_Early_Dismissal_3[[#This Row],[Activity]],Types_of_Activity[Type of Activity],Types_of_Activity[Classification])=2,Term3_Early_Dismissal_3[[#This Row],[Elapsed]],0))</f>
        <v/>
      </c>
      <c r="W60" s="135"/>
      <c r="X60" s="135"/>
      <c r="Y60" s="102"/>
      <c r="Z60" s="105" t="str">
        <f>IF(OR(ISBLANK(Term3_Early_Dismissal_4[[#This Row],[Start]]),ISBLANK(Term3_Early_Dismissal_4[[#This Row],[End]])),"",(Term3_Early_Dismissal_4[[#This Row],[End]]-Term3_Early_Dismissal_4[[#This Row],[Start]])*1440)</f>
        <v/>
      </c>
      <c r="AA60" s="105" t="str">
        <f>IF(ISBLANK(Term3_Early_Dismissal_4[[#This Row],[Activity]]),"",IF(_xlfn.XLOOKUP(Term3_Early_Dismissal_4[[#This Row],[Activity]],Types_of_Activity[Type of Activity],Types_of_Activity[Classification])=1,Term3_Early_Dismissal_4[[#This Row],[Elapsed]],0))</f>
        <v/>
      </c>
      <c r="AB60" s="105" t="str">
        <f>IF(ISBLANK(Term3_Early_Dismissal_4[[#This Row],[Activity]]),"",IF(_xlfn.XLOOKUP(Term3_Early_Dismissal_4[[#This Row],[Activity]],Types_of_Activity[Type of Activity],Types_of_Activity[Classification])=2,Term3_Early_Dismissal_4[[#This Row],[Elapsed]],0))</f>
        <v/>
      </c>
      <c r="AD60" s="135"/>
      <c r="AE60" s="135"/>
      <c r="AF60" s="102"/>
      <c r="AG60" s="105" t="str">
        <f>IF(OR(ISBLANK(Term3_Early_Dismissal_5[[#This Row],[Start]]),ISBLANK(Term3_Early_Dismissal_5[[#This Row],[End]])),"",(Term3_Early_Dismissal_5[[#This Row],[End]]-Term3_Early_Dismissal_5[[#This Row],[Start]])*1440)</f>
        <v/>
      </c>
      <c r="AH60" s="105" t="str">
        <f>IF(ISBLANK(Term3_Early_Dismissal_5[[#This Row],[Activity]]),"",IF(_xlfn.XLOOKUP(Term3_Early_Dismissal_5[[#This Row],[Activity]],Types_of_Activity[Type of Activity],Types_of_Activity[Classification])=1,Term3_Early_Dismissal_5[[#This Row],[Elapsed]],0))</f>
        <v/>
      </c>
      <c r="AI60" s="105" t="str">
        <f>IF(ISBLANK(Term3_Early_Dismissal_5[[#This Row],[Activity]]),"",IF(_xlfn.XLOOKUP(Term3_Early_Dismissal_5[[#This Row],[Activity]],Types_of_Activity[Type of Activity],Types_of_Activity[Classification])=2,Term3_Early_Dismissal_5[[#This Row],[Elapsed]],0))</f>
        <v/>
      </c>
      <c r="AK60" s="135"/>
      <c r="AL60" s="135"/>
      <c r="AM60" s="102"/>
      <c r="AN60" s="105" t="str">
        <f>IF(OR(ISBLANK(Term3_Early_Dismissal_6[[#This Row],[Start]]),ISBLANK(Term3_Early_Dismissal_6[[#This Row],[End]])),"",(Term3_Early_Dismissal_6[[#This Row],[End]]-Term3_Early_Dismissal_6[[#This Row],[Start]])*1440)</f>
        <v/>
      </c>
      <c r="AO60" s="105" t="str">
        <f>IF(ISBLANK(Term3_Early_Dismissal_6[[#This Row],[Activity]]),"",IF(_xlfn.XLOOKUP(Term3_Early_Dismissal_6[[#This Row],[Activity]],Types_of_Activity[Type of Activity],Types_of_Activity[Classification])=1,Term3_Early_Dismissal_6[[#This Row],[Elapsed]],0))</f>
        <v/>
      </c>
      <c r="AP60" s="105" t="str">
        <f>IF(ISBLANK(Term3_Early_Dismissal_6[[#This Row],[Activity]]),"",IF(_xlfn.XLOOKUP(Term3_Early_Dismissal_6[[#This Row],[Activity]],Types_of_Activity[Type of Activity],Types_of_Activity[Classification])=2,Term3_Early_Dismissal_6[[#This Row],[Elapsed]],0))</f>
        <v/>
      </c>
    </row>
    <row r="61" spans="2:71" x14ac:dyDescent="0.3">
      <c r="B61" s="135"/>
      <c r="C61" s="135"/>
      <c r="D61" s="102"/>
      <c r="E61" s="105" t="str">
        <f>IF(OR(ISBLANK(Term3_Early_Dismissal_1[[#This Row],[Start]]),ISBLANK(Term3_Early_Dismissal_1[[#This Row],[End]])),"",(Term3_Early_Dismissal_1[[#This Row],[End]]-Term3_Early_Dismissal_1[[#This Row],[Start]])*1440)</f>
        <v/>
      </c>
      <c r="F61" s="105" t="str">
        <f>IF(ISBLANK(Term3_Early_Dismissal_1[[#This Row],[Activity]]),"",IF(_xlfn.XLOOKUP(Term3_Early_Dismissal_1[[#This Row],[Activity]],Types_of_Activity[Type of Activity],Types_of_Activity[Classification])=1,Term3_Early_Dismissal_1[[#This Row],[Elapsed]],0))</f>
        <v/>
      </c>
      <c r="G61" s="105" t="str">
        <f>IF(ISBLANK(Term3_Early_Dismissal_1[[#This Row],[Activity]]),"",IF(_xlfn.XLOOKUP(Term3_Early_Dismissal_1[[#This Row],[Activity]],Types_of_Activity[Type of Activity],Types_of_Activity[Classification])=2,Term3_Early_Dismissal_1[[#This Row],[Elapsed]],0))</f>
        <v/>
      </c>
      <c r="H61"/>
      <c r="I61" s="135"/>
      <c r="J61" s="135"/>
      <c r="K61" s="102"/>
      <c r="L61" s="105" t="str">
        <f>IF(OR(ISBLANK(Term3_Early_Dismissal_2[[#This Row],[Start]]),ISBLANK(Term3_Early_Dismissal_2[[#This Row],[End]])),"",(Term3_Early_Dismissal_2[[#This Row],[End]]-Term3_Early_Dismissal_2[[#This Row],[Start]])*1440)</f>
        <v/>
      </c>
      <c r="M61" s="105" t="str">
        <f>IF(ISBLANK(Term3_Early_Dismissal_2[[#This Row],[Activity]]),"",IF(_xlfn.XLOOKUP(Term3_Early_Dismissal_2[[#This Row],[Activity]],Types_of_Activity[Type of Activity],Types_of_Activity[Classification])=1,Term3_Early_Dismissal_2[[#This Row],[Elapsed]],0))</f>
        <v/>
      </c>
      <c r="N61" s="105" t="str">
        <f>IF(ISBLANK(Term3_Early_Dismissal_2[[#This Row],[Activity]]),"",IF(_xlfn.XLOOKUP(Term3_Early_Dismissal_2[[#This Row],[Activity]],Types_of_Activity[Type of Activity],Types_of_Activity[Classification])=2,Term3_Early_Dismissal_2[[#This Row],[Elapsed]],0))</f>
        <v/>
      </c>
      <c r="O61"/>
      <c r="P61" s="135"/>
      <c r="Q61" s="135"/>
      <c r="R61" s="102"/>
      <c r="S61" s="105" t="str">
        <f>IF(OR(ISBLANK(Term3_Early_Dismissal_3[[#This Row],[Start]]),ISBLANK(Term3_Early_Dismissal_3[[#This Row],[End]])),"",(Term3_Early_Dismissal_3[[#This Row],[End]]-Term3_Early_Dismissal_3[[#This Row],[Start]])*1440)</f>
        <v/>
      </c>
      <c r="T61" s="105" t="str">
        <f>IF(ISBLANK(Term3_Early_Dismissal_3[[#This Row],[Activity]]),"",IF(_xlfn.XLOOKUP(Term3_Early_Dismissal_3[[#This Row],[Activity]],Types_of_Activity[Type of Activity],Types_of_Activity[Classification])=1,Term3_Early_Dismissal_3[[#This Row],[Elapsed]],0))</f>
        <v/>
      </c>
      <c r="U61" s="105" t="str">
        <f>IF(ISBLANK(Term3_Early_Dismissal_3[[#This Row],[Activity]]),"",IF(_xlfn.XLOOKUP(Term3_Early_Dismissal_3[[#This Row],[Activity]],Types_of_Activity[Type of Activity],Types_of_Activity[Classification])=2,Term3_Early_Dismissal_3[[#This Row],[Elapsed]],0))</f>
        <v/>
      </c>
      <c r="W61" s="135"/>
      <c r="X61" s="135"/>
      <c r="Y61" s="102"/>
      <c r="Z61" s="105" t="str">
        <f>IF(OR(ISBLANK(Term3_Early_Dismissal_4[[#This Row],[Start]]),ISBLANK(Term3_Early_Dismissal_4[[#This Row],[End]])),"",(Term3_Early_Dismissal_4[[#This Row],[End]]-Term3_Early_Dismissal_4[[#This Row],[Start]])*1440)</f>
        <v/>
      </c>
      <c r="AA61" s="105" t="str">
        <f>IF(ISBLANK(Term3_Early_Dismissal_4[[#This Row],[Activity]]),"",IF(_xlfn.XLOOKUP(Term3_Early_Dismissal_4[[#This Row],[Activity]],Types_of_Activity[Type of Activity],Types_of_Activity[Classification])=1,Term3_Early_Dismissal_4[[#This Row],[Elapsed]],0))</f>
        <v/>
      </c>
      <c r="AB61" s="105" t="str">
        <f>IF(ISBLANK(Term3_Early_Dismissal_4[[#This Row],[Activity]]),"",IF(_xlfn.XLOOKUP(Term3_Early_Dismissal_4[[#This Row],[Activity]],Types_of_Activity[Type of Activity],Types_of_Activity[Classification])=2,Term3_Early_Dismissal_4[[#This Row],[Elapsed]],0))</f>
        <v/>
      </c>
      <c r="AD61" s="135"/>
      <c r="AE61" s="135"/>
      <c r="AF61" s="102"/>
      <c r="AG61" s="105" t="str">
        <f>IF(OR(ISBLANK(Term3_Early_Dismissal_5[[#This Row],[Start]]),ISBLANK(Term3_Early_Dismissal_5[[#This Row],[End]])),"",(Term3_Early_Dismissal_5[[#This Row],[End]]-Term3_Early_Dismissal_5[[#This Row],[Start]])*1440)</f>
        <v/>
      </c>
      <c r="AH61" s="105" t="str">
        <f>IF(ISBLANK(Term3_Early_Dismissal_5[[#This Row],[Activity]]),"",IF(_xlfn.XLOOKUP(Term3_Early_Dismissal_5[[#This Row],[Activity]],Types_of_Activity[Type of Activity],Types_of_Activity[Classification])=1,Term3_Early_Dismissal_5[[#This Row],[Elapsed]],0))</f>
        <v/>
      </c>
      <c r="AI61" s="105" t="str">
        <f>IF(ISBLANK(Term3_Early_Dismissal_5[[#This Row],[Activity]]),"",IF(_xlfn.XLOOKUP(Term3_Early_Dismissal_5[[#This Row],[Activity]],Types_of_Activity[Type of Activity],Types_of_Activity[Classification])=2,Term3_Early_Dismissal_5[[#This Row],[Elapsed]],0))</f>
        <v/>
      </c>
      <c r="AK61" s="135"/>
      <c r="AL61" s="135"/>
      <c r="AM61" s="102"/>
      <c r="AN61" s="105" t="str">
        <f>IF(OR(ISBLANK(Term3_Early_Dismissal_6[[#This Row],[Start]]),ISBLANK(Term3_Early_Dismissal_6[[#This Row],[End]])),"",(Term3_Early_Dismissal_6[[#This Row],[End]]-Term3_Early_Dismissal_6[[#This Row],[Start]])*1440)</f>
        <v/>
      </c>
      <c r="AO61" s="105" t="str">
        <f>IF(ISBLANK(Term3_Early_Dismissal_6[[#This Row],[Activity]]),"",IF(_xlfn.XLOOKUP(Term3_Early_Dismissal_6[[#This Row],[Activity]],Types_of_Activity[Type of Activity],Types_of_Activity[Classification])=1,Term3_Early_Dismissal_6[[#This Row],[Elapsed]],0))</f>
        <v/>
      </c>
      <c r="AP61" s="105" t="str">
        <f>IF(ISBLANK(Term3_Early_Dismissal_6[[#This Row],[Activity]]),"",IF(_xlfn.XLOOKUP(Term3_Early_Dismissal_6[[#This Row],[Activity]],Types_of_Activity[Type of Activity],Types_of_Activity[Classification])=2,Term3_Early_Dismissal_6[[#This Row],[Elapsed]],0))</f>
        <v/>
      </c>
    </row>
    <row r="62" spans="2:71" x14ac:dyDescent="0.3">
      <c r="B62" s="135"/>
      <c r="C62" s="135"/>
      <c r="D62" s="102"/>
      <c r="E62" s="105" t="str">
        <f>IF(OR(ISBLANK(Term3_Early_Dismissal_1[[#This Row],[Start]]),ISBLANK(Term3_Early_Dismissal_1[[#This Row],[End]])),"",(Term3_Early_Dismissal_1[[#This Row],[End]]-Term3_Early_Dismissal_1[[#This Row],[Start]])*1440)</f>
        <v/>
      </c>
      <c r="F62" s="105" t="str">
        <f>IF(ISBLANK(Term3_Early_Dismissal_1[[#This Row],[Activity]]),"",IF(_xlfn.XLOOKUP(Term3_Early_Dismissal_1[[#This Row],[Activity]],Types_of_Activity[Type of Activity],Types_of_Activity[Classification])=1,Term3_Early_Dismissal_1[[#This Row],[Elapsed]],0))</f>
        <v/>
      </c>
      <c r="G62" s="105" t="str">
        <f>IF(ISBLANK(Term3_Early_Dismissal_1[[#This Row],[Activity]]),"",IF(_xlfn.XLOOKUP(Term3_Early_Dismissal_1[[#This Row],[Activity]],Types_of_Activity[Type of Activity],Types_of_Activity[Classification])=2,Term3_Early_Dismissal_1[[#This Row],[Elapsed]],0))</f>
        <v/>
      </c>
      <c r="H62"/>
      <c r="I62" s="135"/>
      <c r="J62" s="135"/>
      <c r="K62" s="102"/>
      <c r="L62" s="105" t="str">
        <f>IF(OR(ISBLANK(Term3_Early_Dismissal_2[[#This Row],[Start]]),ISBLANK(Term3_Early_Dismissal_2[[#This Row],[End]])),"",(Term3_Early_Dismissal_2[[#This Row],[End]]-Term3_Early_Dismissal_2[[#This Row],[Start]])*1440)</f>
        <v/>
      </c>
      <c r="M62" s="105" t="str">
        <f>IF(ISBLANK(Term3_Early_Dismissal_2[[#This Row],[Activity]]),"",IF(_xlfn.XLOOKUP(Term3_Early_Dismissal_2[[#This Row],[Activity]],Types_of_Activity[Type of Activity],Types_of_Activity[Classification])=1,Term3_Early_Dismissal_2[[#This Row],[Elapsed]],0))</f>
        <v/>
      </c>
      <c r="N62" s="105" t="str">
        <f>IF(ISBLANK(Term3_Early_Dismissal_2[[#This Row],[Activity]]),"",IF(_xlfn.XLOOKUP(Term3_Early_Dismissal_2[[#This Row],[Activity]],Types_of_Activity[Type of Activity],Types_of_Activity[Classification])=2,Term3_Early_Dismissal_2[[#This Row],[Elapsed]],0))</f>
        <v/>
      </c>
      <c r="O62"/>
      <c r="P62" s="135"/>
      <c r="Q62" s="135"/>
      <c r="R62" s="102"/>
      <c r="S62" s="105" t="str">
        <f>IF(OR(ISBLANK(Term3_Early_Dismissal_3[[#This Row],[Start]]),ISBLANK(Term3_Early_Dismissal_3[[#This Row],[End]])),"",(Term3_Early_Dismissal_3[[#This Row],[End]]-Term3_Early_Dismissal_3[[#This Row],[Start]])*1440)</f>
        <v/>
      </c>
      <c r="T62" s="105" t="str">
        <f>IF(ISBLANK(Term3_Early_Dismissal_3[[#This Row],[Activity]]),"",IF(_xlfn.XLOOKUP(Term3_Early_Dismissal_3[[#This Row],[Activity]],Types_of_Activity[Type of Activity],Types_of_Activity[Classification])=1,Term3_Early_Dismissal_3[[#This Row],[Elapsed]],0))</f>
        <v/>
      </c>
      <c r="U62" s="105" t="str">
        <f>IF(ISBLANK(Term3_Early_Dismissal_3[[#This Row],[Activity]]),"",IF(_xlfn.XLOOKUP(Term3_Early_Dismissal_3[[#This Row],[Activity]],Types_of_Activity[Type of Activity],Types_of_Activity[Classification])=2,Term3_Early_Dismissal_3[[#This Row],[Elapsed]],0))</f>
        <v/>
      </c>
      <c r="W62" s="135"/>
      <c r="X62" s="135"/>
      <c r="Y62" s="102"/>
      <c r="Z62" s="105" t="str">
        <f>IF(OR(ISBLANK(Term3_Early_Dismissal_4[[#This Row],[Start]]),ISBLANK(Term3_Early_Dismissal_4[[#This Row],[End]])),"",(Term3_Early_Dismissal_4[[#This Row],[End]]-Term3_Early_Dismissal_4[[#This Row],[Start]])*1440)</f>
        <v/>
      </c>
      <c r="AA62" s="105" t="str">
        <f>IF(ISBLANK(Term3_Early_Dismissal_4[[#This Row],[Activity]]),"",IF(_xlfn.XLOOKUP(Term3_Early_Dismissal_4[[#This Row],[Activity]],Types_of_Activity[Type of Activity],Types_of_Activity[Classification])=1,Term3_Early_Dismissal_4[[#This Row],[Elapsed]],0))</f>
        <v/>
      </c>
      <c r="AB62" s="105" t="str">
        <f>IF(ISBLANK(Term3_Early_Dismissal_4[[#This Row],[Activity]]),"",IF(_xlfn.XLOOKUP(Term3_Early_Dismissal_4[[#This Row],[Activity]],Types_of_Activity[Type of Activity],Types_of_Activity[Classification])=2,Term3_Early_Dismissal_4[[#This Row],[Elapsed]],0))</f>
        <v/>
      </c>
      <c r="AD62" s="135"/>
      <c r="AE62" s="135"/>
      <c r="AF62" s="102"/>
      <c r="AG62" s="105" t="str">
        <f>IF(OR(ISBLANK(Term3_Early_Dismissal_5[[#This Row],[Start]]),ISBLANK(Term3_Early_Dismissal_5[[#This Row],[End]])),"",(Term3_Early_Dismissal_5[[#This Row],[End]]-Term3_Early_Dismissal_5[[#This Row],[Start]])*1440)</f>
        <v/>
      </c>
      <c r="AH62" s="105" t="str">
        <f>IF(ISBLANK(Term3_Early_Dismissal_5[[#This Row],[Activity]]),"",IF(_xlfn.XLOOKUP(Term3_Early_Dismissal_5[[#This Row],[Activity]],Types_of_Activity[Type of Activity],Types_of_Activity[Classification])=1,Term3_Early_Dismissal_5[[#This Row],[Elapsed]],0))</f>
        <v/>
      </c>
      <c r="AI62" s="105" t="str">
        <f>IF(ISBLANK(Term3_Early_Dismissal_5[[#This Row],[Activity]]),"",IF(_xlfn.XLOOKUP(Term3_Early_Dismissal_5[[#This Row],[Activity]],Types_of_Activity[Type of Activity],Types_of_Activity[Classification])=2,Term3_Early_Dismissal_5[[#This Row],[Elapsed]],0))</f>
        <v/>
      </c>
      <c r="AK62" s="135"/>
      <c r="AL62" s="135"/>
      <c r="AM62" s="102"/>
      <c r="AN62" s="105" t="str">
        <f>IF(OR(ISBLANK(Term3_Early_Dismissal_6[[#This Row],[Start]]),ISBLANK(Term3_Early_Dismissal_6[[#This Row],[End]])),"",(Term3_Early_Dismissal_6[[#This Row],[End]]-Term3_Early_Dismissal_6[[#This Row],[Start]])*1440)</f>
        <v/>
      </c>
      <c r="AO62" s="105" t="str">
        <f>IF(ISBLANK(Term3_Early_Dismissal_6[[#This Row],[Activity]]),"",IF(_xlfn.XLOOKUP(Term3_Early_Dismissal_6[[#This Row],[Activity]],Types_of_Activity[Type of Activity],Types_of_Activity[Classification])=1,Term3_Early_Dismissal_6[[#This Row],[Elapsed]],0))</f>
        <v/>
      </c>
      <c r="AP62" s="105" t="str">
        <f>IF(ISBLANK(Term3_Early_Dismissal_6[[#This Row],[Activity]]),"",IF(_xlfn.XLOOKUP(Term3_Early_Dismissal_6[[#This Row],[Activity]],Types_of_Activity[Type of Activity],Types_of_Activity[Classification])=2,Term3_Early_Dismissal_6[[#This Row],[Elapsed]],0))</f>
        <v/>
      </c>
    </row>
    <row r="63" spans="2:71" x14ac:dyDescent="0.3">
      <c r="B63" s="135"/>
      <c r="C63" s="135"/>
      <c r="D63" s="102"/>
      <c r="E63" s="105" t="str">
        <f>IF(OR(ISBLANK(Term3_Early_Dismissal_1[[#This Row],[Start]]),ISBLANK(Term3_Early_Dismissal_1[[#This Row],[End]])),"",(Term3_Early_Dismissal_1[[#This Row],[End]]-Term3_Early_Dismissal_1[[#This Row],[Start]])*1440)</f>
        <v/>
      </c>
      <c r="F63" s="105" t="str">
        <f>IF(ISBLANK(Term3_Early_Dismissal_1[[#This Row],[Activity]]),"",IF(_xlfn.XLOOKUP(Term3_Early_Dismissal_1[[#This Row],[Activity]],Types_of_Activity[Type of Activity],Types_of_Activity[Classification])=1,Term3_Early_Dismissal_1[[#This Row],[Elapsed]],0))</f>
        <v/>
      </c>
      <c r="G63" s="105" t="str">
        <f>IF(ISBLANK(Term3_Early_Dismissal_1[[#This Row],[Activity]]),"",IF(_xlfn.XLOOKUP(Term3_Early_Dismissal_1[[#This Row],[Activity]],Types_of_Activity[Type of Activity],Types_of_Activity[Classification])=2,Term3_Early_Dismissal_1[[#This Row],[Elapsed]],0))</f>
        <v/>
      </c>
      <c r="H63"/>
      <c r="I63" s="135"/>
      <c r="J63" s="135"/>
      <c r="K63" s="102"/>
      <c r="L63" s="105" t="str">
        <f>IF(OR(ISBLANK(Term3_Early_Dismissal_2[[#This Row],[Start]]),ISBLANK(Term3_Early_Dismissal_2[[#This Row],[End]])),"",(Term3_Early_Dismissal_2[[#This Row],[End]]-Term3_Early_Dismissal_2[[#This Row],[Start]])*1440)</f>
        <v/>
      </c>
      <c r="M63" s="105" t="str">
        <f>IF(ISBLANK(Term3_Early_Dismissal_2[[#This Row],[Activity]]),"",IF(_xlfn.XLOOKUP(Term3_Early_Dismissal_2[[#This Row],[Activity]],Types_of_Activity[Type of Activity],Types_of_Activity[Classification])=1,Term3_Early_Dismissal_2[[#This Row],[Elapsed]],0))</f>
        <v/>
      </c>
      <c r="N63" s="105" t="str">
        <f>IF(ISBLANK(Term3_Early_Dismissal_2[[#This Row],[Activity]]),"",IF(_xlfn.XLOOKUP(Term3_Early_Dismissal_2[[#This Row],[Activity]],Types_of_Activity[Type of Activity],Types_of_Activity[Classification])=2,Term3_Early_Dismissal_2[[#This Row],[Elapsed]],0))</f>
        <v/>
      </c>
      <c r="O63"/>
      <c r="P63" s="135"/>
      <c r="Q63" s="135"/>
      <c r="R63" s="102"/>
      <c r="S63" s="105" t="str">
        <f>IF(OR(ISBLANK(Term3_Early_Dismissal_3[[#This Row],[Start]]),ISBLANK(Term3_Early_Dismissal_3[[#This Row],[End]])),"",(Term3_Early_Dismissal_3[[#This Row],[End]]-Term3_Early_Dismissal_3[[#This Row],[Start]])*1440)</f>
        <v/>
      </c>
      <c r="T63" s="105" t="str">
        <f>IF(ISBLANK(Term3_Early_Dismissal_3[[#This Row],[Activity]]),"",IF(_xlfn.XLOOKUP(Term3_Early_Dismissal_3[[#This Row],[Activity]],Types_of_Activity[Type of Activity],Types_of_Activity[Classification])=1,Term3_Early_Dismissal_3[[#This Row],[Elapsed]],0))</f>
        <v/>
      </c>
      <c r="U63" s="105" t="str">
        <f>IF(ISBLANK(Term3_Early_Dismissal_3[[#This Row],[Activity]]),"",IF(_xlfn.XLOOKUP(Term3_Early_Dismissal_3[[#This Row],[Activity]],Types_of_Activity[Type of Activity],Types_of_Activity[Classification])=2,Term3_Early_Dismissal_3[[#This Row],[Elapsed]],0))</f>
        <v/>
      </c>
      <c r="W63" s="135"/>
      <c r="X63" s="135"/>
      <c r="Y63" s="102"/>
      <c r="Z63" s="105" t="str">
        <f>IF(OR(ISBLANK(Term3_Early_Dismissal_4[[#This Row],[Start]]),ISBLANK(Term3_Early_Dismissal_4[[#This Row],[End]])),"",(Term3_Early_Dismissal_4[[#This Row],[End]]-Term3_Early_Dismissal_4[[#This Row],[Start]])*1440)</f>
        <v/>
      </c>
      <c r="AA63" s="105" t="str">
        <f>IF(ISBLANK(Term3_Early_Dismissal_4[[#This Row],[Activity]]),"",IF(_xlfn.XLOOKUP(Term3_Early_Dismissal_4[[#This Row],[Activity]],Types_of_Activity[Type of Activity],Types_of_Activity[Classification])=1,Term3_Early_Dismissal_4[[#This Row],[Elapsed]],0))</f>
        <v/>
      </c>
      <c r="AB63" s="105" t="str">
        <f>IF(ISBLANK(Term3_Early_Dismissal_4[[#This Row],[Activity]]),"",IF(_xlfn.XLOOKUP(Term3_Early_Dismissal_4[[#This Row],[Activity]],Types_of_Activity[Type of Activity],Types_of_Activity[Classification])=2,Term3_Early_Dismissal_4[[#This Row],[Elapsed]],0))</f>
        <v/>
      </c>
      <c r="AD63" s="135"/>
      <c r="AE63" s="135"/>
      <c r="AF63" s="102"/>
      <c r="AG63" s="105" t="str">
        <f>IF(OR(ISBLANK(Term3_Early_Dismissal_5[[#This Row],[Start]]),ISBLANK(Term3_Early_Dismissal_5[[#This Row],[End]])),"",(Term3_Early_Dismissal_5[[#This Row],[End]]-Term3_Early_Dismissal_5[[#This Row],[Start]])*1440)</f>
        <v/>
      </c>
      <c r="AH63" s="105" t="str">
        <f>IF(ISBLANK(Term3_Early_Dismissal_5[[#This Row],[Activity]]),"",IF(_xlfn.XLOOKUP(Term3_Early_Dismissal_5[[#This Row],[Activity]],Types_of_Activity[Type of Activity],Types_of_Activity[Classification])=1,Term3_Early_Dismissal_5[[#This Row],[Elapsed]],0))</f>
        <v/>
      </c>
      <c r="AI63" s="105" t="str">
        <f>IF(ISBLANK(Term3_Early_Dismissal_5[[#This Row],[Activity]]),"",IF(_xlfn.XLOOKUP(Term3_Early_Dismissal_5[[#This Row],[Activity]],Types_of_Activity[Type of Activity],Types_of_Activity[Classification])=2,Term3_Early_Dismissal_5[[#This Row],[Elapsed]],0))</f>
        <v/>
      </c>
      <c r="AK63" s="135"/>
      <c r="AL63" s="135"/>
      <c r="AM63" s="102"/>
      <c r="AN63" s="105" t="str">
        <f>IF(OR(ISBLANK(Term3_Early_Dismissal_6[[#This Row],[Start]]),ISBLANK(Term3_Early_Dismissal_6[[#This Row],[End]])),"",(Term3_Early_Dismissal_6[[#This Row],[End]]-Term3_Early_Dismissal_6[[#This Row],[Start]])*1440)</f>
        <v/>
      </c>
      <c r="AO63" s="105" t="str">
        <f>IF(ISBLANK(Term3_Early_Dismissal_6[[#This Row],[Activity]]),"",IF(_xlfn.XLOOKUP(Term3_Early_Dismissal_6[[#This Row],[Activity]],Types_of_Activity[Type of Activity],Types_of_Activity[Classification])=1,Term3_Early_Dismissal_6[[#This Row],[Elapsed]],0))</f>
        <v/>
      </c>
      <c r="AP63" s="105" t="str">
        <f>IF(ISBLANK(Term3_Early_Dismissal_6[[#This Row],[Activity]]),"",IF(_xlfn.XLOOKUP(Term3_Early_Dismissal_6[[#This Row],[Activity]],Types_of_Activity[Type of Activity],Types_of_Activity[Classification])=2,Term3_Early_Dismissal_6[[#This Row],[Elapsed]],0))</f>
        <v/>
      </c>
    </row>
    <row r="64" spans="2:71" x14ac:dyDescent="0.3">
      <c r="B64" s="135"/>
      <c r="C64" s="135"/>
      <c r="D64" s="102"/>
      <c r="E64" s="105" t="str">
        <f>IF(OR(ISBLANK(Term3_Early_Dismissal_1[[#This Row],[Start]]),ISBLANK(Term3_Early_Dismissal_1[[#This Row],[End]])),"",(Term3_Early_Dismissal_1[[#This Row],[End]]-Term3_Early_Dismissal_1[[#This Row],[Start]])*1440)</f>
        <v/>
      </c>
      <c r="F64" s="105" t="str">
        <f>IF(ISBLANK(Term3_Early_Dismissal_1[[#This Row],[Activity]]),"",IF(_xlfn.XLOOKUP(Term3_Early_Dismissal_1[[#This Row],[Activity]],Types_of_Activity[Type of Activity],Types_of_Activity[Classification])=1,Term3_Early_Dismissal_1[[#This Row],[Elapsed]],0))</f>
        <v/>
      </c>
      <c r="G64" s="105" t="str">
        <f>IF(ISBLANK(Term3_Early_Dismissal_1[[#This Row],[Activity]]),"",IF(_xlfn.XLOOKUP(Term3_Early_Dismissal_1[[#This Row],[Activity]],Types_of_Activity[Type of Activity],Types_of_Activity[Classification])=2,Term3_Early_Dismissal_1[[#This Row],[Elapsed]],0))</f>
        <v/>
      </c>
      <c r="H64"/>
      <c r="I64" s="135"/>
      <c r="J64" s="135"/>
      <c r="K64" s="102"/>
      <c r="L64" s="105" t="str">
        <f>IF(OR(ISBLANK(Term3_Early_Dismissal_2[[#This Row],[Start]]),ISBLANK(Term3_Early_Dismissal_2[[#This Row],[End]])),"",(Term3_Early_Dismissal_2[[#This Row],[End]]-Term3_Early_Dismissal_2[[#This Row],[Start]])*1440)</f>
        <v/>
      </c>
      <c r="M64" s="105" t="str">
        <f>IF(ISBLANK(Term3_Early_Dismissal_2[[#This Row],[Activity]]),"",IF(_xlfn.XLOOKUP(Term3_Early_Dismissal_2[[#This Row],[Activity]],Types_of_Activity[Type of Activity],Types_of_Activity[Classification])=1,Term3_Early_Dismissal_2[[#This Row],[Elapsed]],0))</f>
        <v/>
      </c>
      <c r="N64" s="105" t="str">
        <f>IF(ISBLANK(Term3_Early_Dismissal_2[[#This Row],[Activity]]),"",IF(_xlfn.XLOOKUP(Term3_Early_Dismissal_2[[#This Row],[Activity]],Types_of_Activity[Type of Activity],Types_of_Activity[Classification])=2,Term3_Early_Dismissal_2[[#This Row],[Elapsed]],0))</f>
        <v/>
      </c>
      <c r="O64"/>
      <c r="P64" s="135"/>
      <c r="Q64" s="135"/>
      <c r="R64" s="102"/>
      <c r="S64" s="105" t="str">
        <f>IF(OR(ISBLANK(Term3_Early_Dismissal_3[[#This Row],[Start]]),ISBLANK(Term3_Early_Dismissal_3[[#This Row],[End]])),"",(Term3_Early_Dismissal_3[[#This Row],[End]]-Term3_Early_Dismissal_3[[#This Row],[Start]])*1440)</f>
        <v/>
      </c>
      <c r="T64" s="105" t="str">
        <f>IF(ISBLANK(Term3_Early_Dismissal_3[[#This Row],[Activity]]),"",IF(_xlfn.XLOOKUP(Term3_Early_Dismissal_3[[#This Row],[Activity]],Types_of_Activity[Type of Activity],Types_of_Activity[Classification])=1,Term3_Early_Dismissal_3[[#This Row],[Elapsed]],0))</f>
        <v/>
      </c>
      <c r="U64" s="105" t="str">
        <f>IF(ISBLANK(Term3_Early_Dismissal_3[[#This Row],[Activity]]),"",IF(_xlfn.XLOOKUP(Term3_Early_Dismissal_3[[#This Row],[Activity]],Types_of_Activity[Type of Activity],Types_of_Activity[Classification])=2,Term3_Early_Dismissal_3[[#This Row],[Elapsed]],0))</f>
        <v/>
      </c>
      <c r="W64" s="135"/>
      <c r="X64" s="135"/>
      <c r="Y64" s="102"/>
      <c r="Z64" s="105" t="str">
        <f>IF(OR(ISBLANK(Term3_Early_Dismissal_4[[#This Row],[Start]]),ISBLANK(Term3_Early_Dismissal_4[[#This Row],[End]])),"",(Term3_Early_Dismissal_4[[#This Row],[End]]-Term3_Early_Dismissal_4[[#This Row],[Start]])*1440)</f>
        <v/>
      </c>
      <c r="AA64" s="105" t="str">
        <f>IF(ISBLANK(Term3_Early_Dismissal_4[[#This Row],[Activity]]),"",IF(_xlfn.XLOOKUP(Term3_Early_Dismissal_4[[#This Row],[Activity]],Types_of_Activity[Type of Activity],Types_of_Activity[Classification])=1,Term3_Early_Dismissal_4[[#This Row],[Elapsed]],0))</f>
        <v/>
      </c>
      <c r="AB64" s="105" t="str">
        <f>IF(ISBLANK(Term3_Early_Dismissal_4[[#This Row],[Activity]]),"",IF(_xlfn.XLOOKUP(Term3_Early_Dismissal_4[[#This Row],[Activity]],Types_of_Activity[Type of Activity],Types_of_Activity[Classification])=2,Term3_Early_Dismissal_4[[#This Row],[Elapsed]],0))</f>
        <v/>
      </c>
      <c r="AD64" s="135"/>
      <c r="AE64" s="135"/>
      <c r="AF64" s="102"/>
      <c r="AG64" s="105" t="str">
        <f>IF(OR(ISBLANK(Term3_Early_Dismissal_5[[#This Row],[Start]]),ISBLANK(Term3_Early_Dismissal_5[[#This Row],[End]])),"",(Term3_Early_Dismissal_5[[#This Row],[End]]-Term3_Early_Dismissal_5[[#This Row],[Start]])*1440)</f>
        <v/>
      </c>
      <c r="AH64" s="105" t="str">
        <f>IF(ISBLANK(Term3_Early_Dismissal_5[[#This Row],[Activity]]),"",IF(_xlfn.XLOOKUP(Term3_Early_Dismissal_5[[#This Row],[Activity]],Types_of_Activity[Type of Activity],Types_of_Activity[Classification])=1,Term3_Early_Dismissal_5[[#This Row],[Elapsed]],0))</f>
        <v/>
      </c>
      <c r="AI64" s="105" t="str">
        <f>IF(ISBLANK(Term3_Early_Dismissal_5[[#This Row],[Activity]]),"",IF(_xlfn.XLOOKUP(Term3_Early_Dismissal_5[[#This Row],[Activity]],Types_of_Activity[Type of Activity],Types_of_Activity[Classification])=2,Term3_Early_Dismissal_5[[#This Row],[Elapsed]],0))</f>
        <v/>
      </c>
      <c r="AK64" s="135"/>
      <c r="AL64" s="135"/>
      <c r="AM64" s="102"/>
      <c r="AN64" s="105" t="str">
        <f>IF(OR(ISBLANK(Term3_Early_Dismissal_6[[#This Row],[Start]]),ISBLANK(Term3_Early_Dismissal_6[[#This Row],[End]])),"",(Term3_Early_Dismissal_6[[#This Row],[End]]-Term3_Early_Dismissal_6[[#This Row],[Start]])*1440)</f>
        <v/>
      </c>
      <c r="AO64" s="105" t="str">
        <f>IF(ISBLANK(Term3_Early_Dismissal_6[[#This Row],[Activity]]),"",IF(_xlfn.XLOOKUP(Term3_Early_Dismissal_6[[#This Row],[Activity]],Types_of_Activity[Type of Activity],Types_of_Activity[Classification])=1,Term3_Early_Dismissal_6[[#This Row],[Elapsed]],0))</f>
        <v/>
      </c>
      <c r="AP64" s="105" t="str">
        <f>IF(ISBLANK(Term3_Early_Dismissal_6[[#This Row],[Activity]]),"",IF(_xlfn.XLOOKUP(Term3_Early_Dismissal_6[[#This Row],[Activity]],Types_of_Activity[Type of Activity],Types_of_Activity[Classification])=2,Term3_Early_Dismissal_6[[#This Row],[Elapsed]],0))</f>
        <v/>
      </c>
    </row>
    <row r="65" spans="2:42" x14ac:dyDescent="0.3">
      <c r="B65" s="135"/>
      <c r="C65" s="135"/>
      <c r="D65" s="102"/>
      <c r="E65" s="105" t="str">
        <f>IF(OR(ISBLANK(Term3_Early_Dismissal_1[[#This Row],[Start]]),ISBLANK(Term3_Early_Dismissal_1[[#This Row],[End]])),"",(Term3_Early_Dismissal_1[[#This Row],[End]]-Term3_Early_Dismissal_1[[#This Row],[Start]])*1440)</f>
        <v/>
      </c>
      <c r="F65" s="105" t="str">
        <f>IF(ISBLANK(Term3_Early_Dismissal_1[[#This Row],[Activity]]),"",IF(_xlfn.XLOOKUP(Term3_Early_Dismissal_1[[#This Row],[Activity]],Types_of_Activity[Type of Activity],Types_of_Activity[Classification])=1,Term3_Early_Dismissal_1[[#This Row],[Elapsed]],0))</f>
        <v/>
      </c>
      <c r="G65" s="105" t="str">
        <f>IF(ISBLANK(Term3_Early_Dismissal_1[[#This Row],[Activity]]),"",IF(_xlfn.XLOOKUP(Term3_Early_Dismissal_1[[#This Row],[Activity]],Types_of_Activity[Type of Activity],Types_of_Activity[Classification])=2,Term3_Early_Dismissal_1[[#This Row],[Elapsed]],0))</f>
        <v/>
      </c>
      <c r="H65"/>
      <c r="I65" s="135"/>
      <c r="J65" s="135"/>
      <c r="K65" s="102"/>
      <c r="L65" s="105" t="str">
        <f>IF(OR(ISBLANK(Term3_Early_Dismissal_2[[#This Row],[Start]]),ISBLANK(Term3_Early_Dismissal_2[[#This Row],[End]])),"",(Term3_Early_Dismissal_2[[#This Row],[End]]-Term3_Early_Dismissal_2[[#This Row],[Start]])*1440)</f>
        <v/>
      </c>
      <c r="M65" s="105" t="str">
        <f>IF(ISBLANK(Term3_Early_Dismissal_2[[#This Row],[Activity]]),"",IF(_xlfn.XLOOKUP(Term3_Early_Dismissal_2[[#This Row],[Activity]],Types_of_Activity[Type of Activity],Types_of_Activity[Classification])=1,Term3_Early_Dismissal_2[[#This Row],[Elapsed]],0))</f>
        <v/>
      </c>
      <c r="N65" s="105" t="str">
        <f>IF(ISBLANK(Term3_Early_Dismissal_2[[#This Row],[Activity]]),"",IF(_xlfn.XLOOKUP(Term3_Early_Dismissal_2[[#This Row],[Activity]],Types_of_Activity[Type of Activity],Types_of_Activity[Classification])=2,Term3_Early_Dismissal_2[[#This Row],[Elapsed]],0))</f>
        <v/>
      </c>
      <c r="O65"/>
      <c r="P65" s="135"/>
      <c r="Q65" s="135"/>
      <c r="R65" s="102"/>
      <c r="S65" s="105" t="str">
        <f>IF(OR(ISBLANK(Term3_Early_Dismissal_3[[#This Row],[Start]]),ISBLANK(Term3_Early_Dismissal_3[[#This Row],[End]])),"",(Term3_Early_Dismissal_3[[#This Row],[End]]-Term3_Early_Dismissal_3[[#This Row],[Start]])*1440)</f>
        <v/>
      </c>
      <c r="T65" s="105" t="str">
        <f>IF(ISBLANK(Term3_Early_Dismissal_3[[#This Row],[Activity]]),"",IF(_xlfn.XLOOKUP(Term3_Early_Dismissal_3[[#This Row],[Activity]],Types_of_Activity[Type of Activity],Types_of_Activity[Classification])=1,Term3_Early_Dismissal_3[[#This Row],[Elapsed]],0))</f>
        <v/>
      </c>
      <c r="U65" s="105" t="str">
        <f>IF(ISBLANK(Term3_Early_Dismissal_3[[#This Row],[Activity]]),"",IF(_xlfn.XLOOKUP(Term3_Early_Dismissal_3[[#This Row],[Activity]],Types_of_Activity[Type of Activity],Types_of_Activity[Classification])=2,Term3_Early_Dismissal_3[[#This Row],[Elapsed]],0))</f>
        <v/>
      </c>
      <c r="W65" s="135"/>
      <c r="X65" s="135"/>
      <c r="Y65" s="102"/>
      <c r="Z65" s="105" t="str">
        <f>IF(OR(ISBLANK(Term3_Early_Dismissal_4[[#This Row],[Start]]),ISBLANK(Term3_Early_Dismissal_4[[#This Row],[End]])),"",(Term3_Early_Dismissal_4[[#This Row],[End]]-Term3_Early_Dismissal_4[[#This Row],[Start]])*1440)</f>
        <v/>
      </c>
      <c r="AA65" s="105" t="str">
        <f>IF(ISBLANK(Term3_Early_Dismissal_4[[#This Row],[Activity]]),"",IF(_xlfn.XLOOKUP(Term3_Early_Dismissal_4[[#This Row],[Activity]],Types_of_Activity[Type of Activity],Types_of_Activity[Classification])=1,Term3_Early_Dismissal_4[[#This Row],[Elapsed]],0))</f>
        <v/>
      </c>
      <c r="AB65" s="105" t="str">
        <f>IF(ISBLANK(Term3_Early_Dismissal_4[[#This Row],[Activity]]),"",IF(_xlfn.XLOOKUP(Term3_Early_Dismissal_4[[#This Row],[Activity]],Types_of_Activity[Type of Activity],Types_of_Activity[Classification])=2,Term3_Early_Dismissal_4[[#This Row],[Elapsed]],0))</f>
        <v/>
      </c>
      <c r="AD65" s="135"/>
      <c r="AE65" s="135"/>
      <c r="AF65" s="102"/>
      <c r="AG65" s="105" t="str">
        <f>IF(OR(ISBLANK(Term3_Early_Dismissal_5[[#This Row],[Start]]),ISBLANK(Term3_Early_Dismissal_5[[#This Row],[End]])),"",(Term3_Early_Dismissal_5[[#This Row],[End]]-Term3_Early_Dismissal_5[[#This Row],[Start]])*1440)</f>
        <v/>
      </c>
      <c r="AH65" s="105" t="str">
        <f>IF(ISBLANK(Term3_Early_Dismissal_5[[#This Row],[Activity]]),"",IF(_xlfn.XLOOKUP(Term3_Early_Dismissal_5[[#This Row],[Activity]],Types_of_Activity[Type of Activity],Types_of_Activity[Classification])=1,Term3_Early_Dismissal_5[[#This Row],[Elapsed]],0))</f>
        <v/>
      </c>
      <c r="AI65" s="105" t="str">
        <f>IF(ISBLANK(Term3_Early_Dismissal_5[[#This Row],[Activity]]),"",IF(_xlfn.XLOOKUP(Term3_Early_Dismissal_5[[#This Row],[Activity]],Types_of_Activity[Type of Activity],Types_of_Activity[Classification])=2,Term3_Early_Dismissal_5[[#This Row],[Elapsed]],0))</f>
        <v/>
      </c>
      <c r="AK65" s="135"/>
      <c r="AL65" s="135"/>
      <c r="AM65" s="102"/>
      <c r="AN65" s="105" t="str">
        <f>IF(OR(ISBLANK(Term3_Early_Dismissal_6[[#This Row],[Start]]),ISBLANK(Term3_Early_Dismissal_6[[#This Row],[End]])),"",(Term3_Early_Dismissal_6[[#This Row],[End]]-Term3_Early_Dismissal_6[[#This Row],[Start]])*1440)</f>
        <v/>
      </c>
      <c r="AO65" s="105" t="str">
        <f>IF(ISBLANK(Term3_Early_Dismissal_6[[#This Row],[Activity]]),"",IF(_xlfn.XLOOKUP(Term3_Early_Dismissal_6[[#This Row],[Activity]],Types_of_Activity[Type of Activity],Types_of_Activity[Classification])=1,Term3_Early_Dismissal_6[[#This Row],[Elapsed]],0))</f>
        <v/>
      </c>
      <c r="AP65" s="105" t="str">
        <f>IF(ISBLANK(Term3_Early_Dismissal_6[[#This Row],[Activity]]),"",IF(_xlfn.XLOOKUP(Term3_Early_Dismissal_6[[#This Row],[Activity]],Types_of_Activity[Type of Activity],Types_of_Activity[Classification])=2,Term3_Early_Dismissal_6[[#This Row],[Elapsed]],0))</f>
        <v/>
      </c>
    </row>
    <row r="66" spans="2:42" x14ac:dyDescent="0.3">
      <c r="B66" s="135"/>
      <c r="C66" s="135"/>
      <c r="D66" s="102"/>
      <c r="E66" s="105" t="str">
        <f>IF(OR(ISBLANK(Term3_Early_Dismissal_1[[#This Row],[Start]]),ISBLANK(Term3_Early_Dismissal_1[[#This Row],[End]])),"",(Term3_Early_Dismissal_1[[#This Row],[End]]-Term3_Early_Dismissal_1[[#This Row],[Start]])*1440)</f>
        <v/>
      </c>
      <c r="F66" s="105" t="str">
        <f>IF(ISBLANK(Term3_Early_Dismissal_1[[#This Row],[Activity]]),"",IF(_xlfn.XLOOKUP(Term3_Early_Dismissal_1[[#This Row],[Activity]],Types_of_Activity[Type of Activity],Types_of_Activity[Classification])=1,Term3_Early_Dismissal_1[[#This Row],[Elapsed]],0))</f>
        <v/>
      </c>
      <c r="G66" s="105" t="str">
        <f>IF(ISBLANK(Term3_Early_Dismissal_1[[#This Row],[Activity]]),"",IF(_xlfn.XLOOKUP(Term3_Early_Dismissal_1[[#This Row],[Activity]],Types_of_Activity[Type of Activity],Types_of_Activity[Classification])=2,Term3_Early_Dismissal_1[[#This Row],[Elapsed]],0))</f>
        <v/>
      </c>
      <c r="H66"/>
      <c r="I66" s="135"/>
      <c r="J66" s="135"/>
      <c r="K66" s="102"/>
      <c r="L66" s="105" t="str">
        <f>IF(OR(ISBLANK(Term3_Early_Dismissal_2[[#This Row],[Start]]),ISBLANK(Term3_Early_Dismissal_2[[#This Row],[End]])),"",(Term3_Early_Dismissal_2[[#This Row],[End]]-Term3_Early_Dismissal_2[[#This Row],[Start]])*1440)</f>
        <v/>
      </c>
      <c r="M66" s="105" t="str">
        <f>IF(ISBLANK(Term3_Early_Dismissal_2[[#This Row],[Activity]]),"",IF(_xlfn.XLOOKUP(Term3_Early_Dismissal_2[[#This Row],[Activity]],Types_of_Activity[Type of Activity],Types_of_Activity[Classification])=1,Term3_Early_Dismissal_2[[#This Row],[Elapsed]],0))</f>
        <v/>
      </c>
      <c r="N66" s="105" t="str">
        <f>IF(ISBLANK(Term3_Early_Dismissal_2[[#This Row],[Activity]]),"",IF(_xlfn.XLOOKUP(Term3_Early_Dismissal_2[[#This Row],[Activity]],Types_of_Activity[Type of Activity],Types_of_Activity[Classification])=2,Term3_Early_Dismissal_2[[#This Row],[Elapsed]],0))</f>
        <v/>
      </c>
      <c r="O66"/>
      <c r="P66" s="135"/>
      <c r="Q66" s="135"/>
      <c r="R66" s="102"/>
      <c r="S66" s="105" t="str">
        <f>IF(OR(ISBLANK(Term3_Early_Dismissal_3[[#This Row],[Start]]),ISBLANK(Term3_Early_Dismissal_3[[#This Row],[End]])),"",(Term3_Early_Dismissal_3[[#This Row],[End]]-Term3_Early_Dismissal_3[[#This Row],[Start]])*1440)</f>
        <v/>
      </c>
      <c r="T66" s="105" t="str">
        <f>IF(ISBLANK(Term3_Early_Dismissal_3[[#This Row],[Activity]]),"",IF(_xlfn.XLOOKUP(Term3_Early_Dismissal_3[[#This Row],[Activity]],Types_of_Activity[Type of Activity],Types_of_Activity[Classification])=1,Term3_Early_Dismissal_3[[#This Row],[Elapsed]],0))</f>
        <v/>
      </c>
      <c r="U66" s="105" t="str">
        <f>IF(ISBLANK(Term3_Early_Dismissal_3[[#This Row],[Activity]]),"",IF(_xlfn.XLOOKUP(Term3_Early_Dismissal_3[[#This Row],[Activity]],Types_of_Activity[Type of Activity],Types_of_Activity[Classification])=2,Term3_Early_Dismissal_3[[#This Row],[Elapsed]],0))</f>
        <v/>
      </c>
      <c r="W66" s="135"/>
      <c r="X66" s="135"/>
      <c r="Y66" s="102"/>
      <c r="Z66" s="105" t="str">
        <f>IF(OR(ISBLANK(Term3_Early_Dismissal_4[[#This Row],[Start]]),ISBLANK(Term3_Early_Dismissal_4[[#This Row],[End]])),"",(Term3_Early_Dismissal_4[[#This Row],[End]]-Term3_Early_Dismissal_4[[#This Row],[Start]])*1440)</f>
        <v/>
      </c>
      <c r="AA66" s="105" t="str">
        <f>IF(ISBLANK(Term3_Early_Dismissal_4[[#This Row],[Activity]]),"",IF(_xlfn.XLOOKUP(Term3_Early_Dismissal_4[[#This Row],[Activity]],Types_of_Activity[Type of Activity],Types_of_Activity[Classification])=1,Term3_Early_Dismissal_4[[#This Row],[Elapsed]],0))</f>
        <v/>
      </c>
      <c r="AB66" s="105" t="str">
        <f>IF(ISBLANK(Term3_Early_Dismissal_4[[#This Row],[Activity]]),"",IF(_xlfn.XLOOKUP(Term3_Early_Dismissal_4[[#This Row],[Activity]],Types_of_Activity[Type of Activity],Types_of_Activity[Classification])=2,Term3_Early_Dismissal_4[[#This Row],[Elapsed]],0))</f>
        <v/>
      </c>
      <c r="AD66" s="135"/>
      <c r="AE66" s="135"/>
      <c r="AF66" s="102"/>
      <c r="AG66" s="105" t="str">
        <f>IF(OR(ISBLANK(Term3_Early_Dismissal_5[[#This Row],[Start]]),ISBLANK(Term3_Early_Dismissal_5[[#This Row],[End]])),"",(Term3_Early_Dismissal_5[[#This Row],[End]]-Term3_Early_Dismissal_5[[#This Row],[Start]])*1440)</f>
        <v/>
      </c>
      <c r="AH66" s="105" t="str">
        <f>IF(ISBLANK(Term3_Early_Dismissal_5[[#This Row],[Activity]]),"",IF(_xlfn.XLOOKUP(Term3_Early_Dismissal_5[[#This Row],[Activity]],Types_of_Activity[Type of Activity],Types_of_Activity[Classification])=1,Term3_Early_Dismissal_5[[#This Row],[Elapsed]],0))</f>
        <v/>
      </c>
      <c r="AI66" s="105" t="str">
        <f>IF(ISBLANK(Term3_Early_Dismissal_5[[#This Row],[Activity]]),"",IF(_xlfn.XLOOKUP(Term3_Early_Dismissal_5[[#This Row],[Activity]],Types_of_Activity[Type of Activity],Types_of_Activity[Classification])=2,Term3_Early_Dismissal_5[[#This Row],[Elapsed]],0))</f>
        <v/>
      </c>
      <c r="AK66" s="135"/>
      <c r="AL66" s="135"/>
      <c r="AM66" s="102"/>
      <c r="AN66" s="105" t="str">
        <f>IF(OR(ISBLANK(Term3_Early_Dismissal_6[[#This Row],[Start]]),ISBLANK(Term3_Early_Dismissal_6[[#This Row],[End]])),"",(Term3_Early_Dismissal_6[[#This Row],[End]]-Term3_Early_Dismissal_6[[#This Row],[Start]])*1440)</f>
        <v/>
      </c>
      <c r="AO66" s="105" t="str">
        <f>IF(ISBLANK(Term3_Early_Dismissal_6[[#This Row],[Activity]]),"",IF(_xlfn.XLOOKUP(Term3_Early_Dismissal_6[[#This Row],[Activity]],Types_of_Activity[Type of Activity],Types_of_Activity[Classification])=1,Term3_Early_Dismissal_6[[#This Row],[Elapsed]],0))</f>
        <v/>
      </c>
      <c r="AP66" s="105" t="str">
        <f>IF(ISBLANK(Term3_Early_Dismissal_6[[#This Row],[Activity]]),"",IF(_xlfn.XLOOKUP(Term3_Early_Dismissal_6[[#This Row],[Activity]],Types_of_Activity[Type of Activity],Types_of_Activity[Classification])=2,Term3_Early_Dismissal_6[[#This Row],[Elapsed]],0))</f>
        <v/>
      </c>
    </row>
    <row r="67" spans="2:42" x14ac:dyDescent="0.3">
      <c r="B67" s="135"/>
      <c r="C67" s="135"/>
      <c r="D67" s="102"/>
      <c r="E67" s="105" t="str">
        <f>IF(OR(ISBLANK(Term3_Early_Dismissal_1[[#This Row],[Start]]),ISBLANK(Term3_Early_Dismissal_1[[#This Row],[End]])),"",(Term3_Early_Dismissal_1[[#This Row],[End]]-Term3_Early_Dismissal_1[[#This Row],[Start]])*1440)</f>
        <v/>
      </c>
      <c r="F67" s="105" t="str">
        <f>IF(ISBLANK(Term3_Early_Dismissal_1[[#This Row],[Activity]]),"",IF(_xlfn.XLOOKUP(Term3_Early_Dismissal_1[[#This Row],[Activity]],Types_of_Activity[Type of Activity],Types_of_Activity[Classification])=1,Term3_Early_Dismissal_1[[#This Row],[Elapsed]],0))</f>
        <v/>
      </c>
      <c r="G67" s="105" t="str">
        <f>IF(ISBLANK(Term3_Early_Dismissal_1[[#This Row],[Activity]]),"",IF(_xlfn.XLOOKUP(Term3_Early_Dismissal_1[[#This Row],[Activity]],Types_of_Activity[Type of Activity],Types_of_Activity[Classification])=2,Term3_Early_Dismissal_1[[#This Row],[Elapsed]],0))</f>
        <v/>
      </c>
      <c r="H67"/>
      <c r="I67" s="135"/>
      <c r="J67" s="135"/>
      <c r="K67" s="102"/>
      <c r="L67" s="105" t="str">
        <f>IF(OR(ISBLANK(Term3_Early_Dismissal_2[[#This Row],[Start]]),ISBLANK(Term3_Early_Dismissal_2[[#This Row],[End]])),"",(Term3_Early_Dismissal_2[[#This Row],[End]]-Term3_Early_Dismissal_2[[#This Row],[Start]])*1440)</f>
        <v/>
      </c>
      <c r="M67" s="105" t="str">
        <f>IF(ISBLANK(Term3_Early_Dismissal_2[[#This Row],[Activity]]),"",IF(_xlfn.XLOOKUP(Term3_Early_Dismissal_2[[#This Row],[Activity]],Types_of_Activity[Type of Activity],Types_of_Activity[Classification])=1,Term3_Early_Dismissal_2[[#This Row],[Elapsed]],0))</f>
        <v/>
      </c>
      <c r="N67" s="105" t="str">
        <f>IF(ISBLANK(Term3_Early_Dismissal_2[[#This Row],[Activity]]),"",IF(_xlfn.XLOOKUP(Term3_Early_Dismissal_2[[#This Row],[Activity]],Types_of_Activity[Type of Activity],Types_of_Activity[Classification])=2,Term3_Early_Dismissal_2[[#This Row],[Elapsed]],0))</f>
        <v/>
      </c>
      <c r="O67"/>
      <c r="P67" s="135"/>
      <c r="Q67" s="135"/>
      <c r="R67" s="102"/>
      <c r="S67" s="105" t="str">
        <f>IF(OR(ISBLANK(Term3_Early_Dismissal_3[[#This Row],[Start]]),ISBLANK(Term3_Early_Dismissal_3[[#This Row],[End]])),"",(Term3_Early_Dismissal_3[[#This Row],[End]]-Term3_Early_Dismissal_3[[#This Row],[Start]])*1440)</f>
        <v/>
      </c>
      <c r="T67" s="105" t="str">
        <f>IF(ISBLANK(Term3_Early_Dismissal_3[[#This Row],[Activity]]),"",IF(_xlfn.XLOOKUP(Term3_Early_Dismissal_3[[#This Row],[Activity]],Types_of_Activity[Type of Activity],Types_of_Activity[Classification])=1,Term3_Early_Dismissal_3[[#This Row],[Elapsed]],0))</f>
        <v/>
      </c>
      <c r="U67" s="105" t="str">
        <f>IF(ISBLANK(Term3_Early_Dismissal_3[[#This Row],[Activity]]),"",IF(_xlfn.XLOOKUP(Term3_Early_Dismissal_3[[#This Row],[Activity]],Types_of_Activity[Type of Activity],Types_of_Activity[Classification])=2,Term3_Early_Dismissal_3[[#This Row],[Elapsed]],0))</f>
        <v/>
      </c>
      <c r="W67" s="135"/>
      <c r="X67" s="135"/>
      <c r="Y67" s="102"/>
      <c r="Z67" s="105" t="str">
        <f>IF(OR(ISBLANK(Term3_Early_Dismissal_4[[#This Row],[Start]]),ISBLANK(Term3_Early_Dismissal_4[[#This Row],[End]])),"",(Term3_Early_Dismissal_4[[#This Row],[End]]-Term3_Early_Dismissal_4[[#This Row],[Start]])*1440)</f>
        <v/>
      </c>
      <c r="AA67" s="105" t="str">
        <f>IF(ISBLANK(Term3_Early_Dismissal_4[[#This Row],[Activity]]),"",IF(_xlfn.XLOOKUP(Term3_Early_Dismissal_4[[#This Row],[Activity]],Types_of_Activity[Type of Activity],Types_of_Activity[Classification])=1,Term3_Early_Dismissal_4[[#This Row],[Elapsed]],0))</f>
        <v/>
      </c>
      <c r="AB67" s="105" t="str">
        <f>IF(ISBLANK(Term3_Early_Dismissal_4[[#This Row],[Activity]]),"",IF(_xlfn.XLOOKUP(Term3_Early_Dismissal_4[[#This Row],[Activity]],Types_of_Activity[Type of Activity],Types_of_Activity[Classification])=2,Term3_Early_Dismissal_4[[#This Row],[Elapsed]],0))</f>
        <v/>
      </c>
      <c r="AD67" s="135"/>
      <c r="AE67" s="135"/>
      <c r="AF67" s="102"/>
      <c r="AG67" s="105" t="str">
        <f>IF(OR(ISBLANK(Term3_Early_Dismissal_5[[#This Row],[Start]]),ISBLANK(Term3_Early_Dismissal_5[[#This Row],[End]])),"",(Term3_Early_Dismissal_5[[#This Row],[End]]-Term3_Early_Dismissal_5[[#This Row],[Start]])*1440)</f>
        <v/>
      </c>
      <c r="AH67" s="105" t="str">
        <f>IF(ISBLANK(Term3_Early_Dismissal_5[[#This Row],[Activity]]),"",IF(_xlfn.XLOOKUP(Term3_Early_Dismissal_5[[#This Row],[Activity]],Types_of_Activity[Type of Activity],Types_of_Activity[Classification])=1,Term3_Early_Dismissal_5[[#This Row],[Elapsed]],0))</f>
        <v/>
      </c>
      <c r="AI67" s="105" t="str">
        <f>IF(ISBLANK(Term3_Early_Dismissal_5[[#This Row],[Activity]]),"",IF(_xlfn.XLOOKUP(Term3_Early_Dismissal_5[[#This Row],[Activity]],Types_of_Activity[Type of Activity],Types_of_Activity[Classification])=2,Term3_Early_Dismissal_5[[#This Row],[Elapsed]],0))</f>
        <v/>
      </c>
      <c r="AK67" s="135"/>
      <c r="AL67" s="135"/>
      <c r="AM67" s="102"/>
      <c r="AN67" s="105" t="str">
        <f>IF(OR(ISBLANK(Term3_Early_Dismissal_6[[#This Row],[Start]]),ISBLANK(Term3_Early_Dismissal_6[[#This Row],[End]])),"",(Term3_Early_Dismissal_6[[#This Row],[End]]-Term3_Early_Dismissal_6[[#This Row],[Start]])*1440)</f>
        <v/>
      </c>
      <c r="AO67" s="105" t="str">
        <f>IF(ISBLANK(Term3_Early_Dismissal_6[[#This Row],[Activity]]),"",IF(_xlfn.XLOOKUP(Term3_Early_Dismissal_6[[#This Row],[Activity]],Types_of_Activity[Type of Activity],Types_of_Activity[Classification])=1,Term3_Early_Dismissal_6[[#This Row],[Elapsed]],0))</f>
        <v/>
      </c>
      <c r="AP67" s="105" t="str">
        <f>IF(ISBLANK(Term3_Early_Dismissal_6[[#This Row],[Activity]]),"",IF(_xlfn.XLOOKUP(Term3_Early_Dismissal_6[[#This Row],[Activity]],Types_of_Activity[Type of Activity],Types_of_Activity[Classification])=2,Term3_Early_Dismissal_6[[#This Row],[Elapsed]],0))</f>
        <v/>
      </c>
    </row>
    <row r="68" spans="2:42" x14ac:dyDescent="0.3">
      <c r="B68" s="135"/>
      <c r="C68" s="135"/>
      <c r="D68" s="102"/>
      <c r="E68" s="105" t="str">
        <f>IF(OR(ISBLANK(Term3_Early_Dismissal_1[[#This Row],[Start]]),ISBLANK(Term3_Early_Dismissal_1[[#This Row],[End]])),"",(Term3_Early_Dismissal_1[[#This Row],[End]]-Term3_Early_Dismissal_1[[#This Row],[Start]])*1440)</f>
        <v/>
      </c>
      <c r="F68" s="105" t="str">
        <f>IF(ISBLANK(Term3_Early_Dismissal_1[[#This Row],[Activity]]),"",IF(_xlfn.XLOOKUP(Term3_Early_Dismissal_1[[#This Row],[Activity]],Types_of_Activity[Type of Activity],Types_of_Activity[Classification])=1,Term3_Early_Dismissal_1[[#This Row],[Elapsed]],0))</f>
        <v/>
      </c>
      <c r="G68" s="105" t="str">
        <f>IF(ISBLANK(Term3_Early_Dismissal_1[[#This Row],[Activity]]),"",IF(_xlfn.XLOOKUP(Term3_Early_Dismissal_1[[#This Row],[Activity]],Types_of_Activity[Type of Activity],Types_of_Activity[Classification])=2,Term3_Early_Dismissal_1[[#This Row],[Elapsed]],0))</f>
        <v/>
      </c>
      <c r="H68"/>
      <c r="I68" s="135"/>
      <c r="J68" s="135"/>
      <c r="K68" s="102"/>
      <c r="L68" s="105" t="str">
        <f>IF(OR(ISBLANK(Term3_Early_Dismissal_2[[#This Row],[Start]]),ISBLANK(Term3_Early_Dismissal_2[[#This Row],[End]])),"",(Term3_Early_Dismissal_2[[#This Row],[End]]-Term3_Early_Dismissal_2[[#This Row],[Start]])*1440)</f>
        <v/>
      </c>
      <c r="M68" s="105" t="str">
        <f>IF(ISBLANK(Term3_Early_Dismissal_2[[#This Row],[Activity]]),"",IF(_xlfn.XLOOKUP(Term3_Early_Dismissal_2[[#This Row],[Activity]],Types_of_Activity[Type of Activity],Types_of_Activity[Classification])=1,Term3_Early_Dismissal_2[[#This Row],[Elapsed]],0))</f>
        <v/>
      </c>
      <c r="N68" s="105" t="str">
        <f>IF(ISBLANK(Term3_Early_Dismissal_2[[#This Row],[Activity]]),"",IF(_xlfn.XLOOKUP(Term3_Early_Dismissal_2[[#This Row],[Activity]],Types_of_Activity[Type of Activity],Types_of_Activity[Classification])=2,Term3_Early_Dismissal_2[[#This Row],[Elapsed]],0))</f>
        <v/>
      </c>
      <c r="O68"/>
      <c r="P68" s="135"/>
      <c r="Q68" s="135"/>
      <c r="R68" s="102"/>
      <c r="S68" s="105" t="str">
        <f>IF(OR(ISBLANK(Term3_Early_Dismissal_3[[#This Row],[Start]]),ISBLANK(Term3_Early_Dismissal_3[[#This Row],[End]])),"",(Term3_Early_Dismissal_3[[#This Row],[End]]-Term3_Early_Dismissal_3[[#This Row],[Start]])*1440)</f>
        <v/>
      </c>
      <c r="T68" s="105" t="str">
        <f>IF(ISBLANK(Term3_Early_Dismissal_3[[#This Row],[Activity]]),"",IF(_xlfn.XLOOKUP(Term3_Early_Dismissal_3[[#This Row],[Activity]],Types_of_Activity[Type of Activity],Types_of_Activity[Classification])=1,Term3_Early_Dismissal_3[[#This Row],[Elapsed]],0))</f>
        <v/>
      </c>
      <c r="U68" s="105" t="str">
        <f>IF(ISBLANK(Term3_Early_Dismissal_3[[#This Row],[Activity]]),"",IF(_xlfn.XLOOKUP(Term3_Early_Dismissal_3[[#This Row],[Activity]],Types_of_Activity[Type of Activity],Types_of_Activity[Classification])=2,Term3_Early_Dismissal_3[[#This Row],[Elapsed]],0))</f>
        <v/>
      </c>
      <c r="W68" s="135"/>
      <c r="X68" s="135"/>
      <c r="Y68" s="102"/>
      <c r="Z68" s="105" t="str">
        <f>IF(OR(ISBLANK(Term3_Early_Dismissal_4[[#This Row],[Start]]),ISBLANK(Term3_Early_Dismissal_4[[#This Row],[End]])),"",(Term3_Early_Dismissal_4[[#This Row],[End]]-Term3_Early_Dismissal_4[[#This Row],[Start]])*1440)</f>
        <v/>
      </c>
      <c r="AA68" s="105" t="str">
        <f>IF(ISBLANK(Term3_Early_Dismissal_4[[#This Row],[Activity]]),"",IF(_xlfn.XLOOKUP(Term3_Early_Dismissal_4[[#This Row],[Activity]],Types_of_Activity[Type of Activity],Types_of_Activity[Classification])=1,Term3_Early_Dismissal_4[[#This Row],[Elapsed]],0))</f>
        <v/>
      </c>
      <c r="AB68" s="105" t="str">
        <f>IF(ISBLANK(Term3_Early_Dismissal_4[[#This Row],[Activity]]),"",IF(_xlfn.XLOOKUP(Term3_Early_Dismissal_4[[#This Row],[Activity]],Types_of_Activity[Type of Activity],Types_of_Activity[Classification])=2,Term3_Early_Dismissal_4[[#This Row],[Elapsed]],0))</f>
        <v/>
      </c>
      <c r="AD68" s="135"/>
      <c r="AE68" s="135"/>
      <c r="AF68" s="102"/>
      <c r="AG68" s="105" t="str">
        <f>IF(OR(ISBLANK(Term3_Early_Dismissal_5[[#This Row],[Start]]),ISBLANK(Term3_Early_Dismissal_5[[#This Row],[End]])),"",(Term3_Early_Dismissal_5[[#This Row],[End]]-Term3_Early_Dismissal_5[[#This Row],[Start]])*1440)</f>
        <v/>
      </c>
      <c r="AH68" s="105" t="str">
        <f>IF(ISBLANK(Term3_Early_Dismissal_5[[#This Row],[Activity]]),"",IF(_xlfn.XLOOKUP(Term3_Early_Dismissal_5[[#This Row],[Activity]],Types_of_Activity[Type of Activity],Types_of_Activity[Classification])=1,Term3_Early_Dismissal_5[[#This Row],[Elapsed]],0))</f>
        <v/>
      </c>
      <c r="AI68" s="105" t="str">
        <f>IF(ISBLANK(Term3_Early_Dismissal_5[[#This Row],[Activity]]),"",IF(_xlfn.XLOOKUP(Term3_Early_Dismissal_5[[#This Row],[Activity]],Types_of_Activity[Type of Activity],Types_of_Activity[Classification])=2,Term3_Early_Dismissal_5[[#This Row],[Elapsed]],0))</f>
        <v/>
      </c>
      <c r="AK68" s="135"/>
      <c r="AL68" s="135"/>
      <c r="AM68" s="102"/>
      <c r="AN68" s="105" t="str">
        <f>IF(OR(ISBLANK(Term3_Early_Dismissal_6[[#This Row],[Start]]),ISBLANK(Term3_Early_Dismissal_6[[#This Row],[End]])),"",(Term3_Early_Dismissal_6[[#This Row],[End]]-Term3_Early_Dismissal_6[[#This Row],[Start]])*1440)</f>
        <v/>
      </c>
      <c r="AO68" s="105" t="str">
        <f>IF(ISBLANK(Term3_Early_Dismissal_6[[#This Row],[Activity]]),"",IF(_xlfn.XLOOKUP(Term3_Early_Dismissal_6[[#This Row],[Activity]],Types_of_Activity[Type of Activity],Types_of_Activity[Classification])=1,Term3_Early_Dismissal_6[[#This Row],[Elapsed]],0))</f>
        <v/>
      </c>
      <c r="AP68" s="105" t="str">
        <f>IF(ISBLANK(Term3_Early_Dismissal_6[[#This Row],[Activity]]),"",IF(_xlfn.XLOOKUP(Term3_Early_Dismissal_6[[#This Row],[Activity]],Types_of_Activity[Type of Activity],Types_of_Activity[Classification])=2,Term3_Early_Dismissal_6[[#This Row],[Elapsed]],0))</f>
        <v/>
      </c>
    </row>
    <row r="69" spans="2:42" x14ac:dyDescent="0.3">
      <c r="B69" s="135"/>
      <c r="C69" s="135"/>
      <c r="D69" s="102"/>
      <c r="E69" s="105" t="str">
        <f>IF(OR(ISBLANK(Term3_Early_Dismissal_1[[#This Row],[Start]]),ISBLANK(Term3_Early_Dismissal_1[[#This Row],[End]])),"",(Term3_Early_Dismissal_1[[#This Row],[End]]-Term3_Early_Dismissal_1[[#This Row],[Start]])*1440)</f>
        <v/>
      </c>
      <c r="F69" s="105" t="str">
        <f>IF(ISBLANK(Term3_Early_Dismissal_1[[#This Row],[Activity]]),"",IF(_xlfn.XLOOKUP(Term3_Early_Dismissal_1[[#This Row],[Activity]],Types_of_Activity[Type of Activity],Types_of_Activity[Classification])=1,Term3_Early_Dismissal_1[[#This Row],[Elapsed]],0))</f>
        <v/>
      </c>
      <c r="G69" s="105" t="str">
        <f>IF(ISBLANK(Term3_Early_Dismissal_1[[#This Row],[Activity]]),"",IF(_xlfn.XLOOKUP(Term3_Early_Dismissal_1[[#This Row],[Activity]],Types_of_Activity[Type of Activity],Types_of_Activity[Classification])=2,Term3_Early_Dismissal_1[[#This Row],[Elapsed]],0))</f>
        <v/>
      </c>
      <c r="H69"/>
      <c r="I69" s="135"/>
      <c r="J69" s="135"/>
      <c r="K69" s="102"/>
      <c r="L69" s="105" t="str">
        <f>IF(OR(ISBLANK(Term3_Early_Dismissal_2[[#This Row],[Start]]),ISBLANK(Term3_Early_Dismissal_2[[#This Row],[End]])),"",(Term3_Early_Dismissal_2[[#This Row],[End]]-Term3_Early_Dismissal_2[[#This Row],[Start]])*1440)</f>
        <v/>
      </c>
      <c r="M69" s="105" t="str">
        <f>IF(ISBLANK(Term3_Early_Dismissal_2[[#This Row],[Activity]]),"",IF(_xlfn.XLOOKUP(Term3_Early_Dismissal_2[[#This Row],[Activity]],Types_of_Activity[Type of Activity],Types_of_Activity[Classification])=1,Term3_Early_Dismissal_2[[#This Row],[Elapsed]],0))</f>
        <v/>
      </c>
      <c r="N69" s="105" t="str">
        <f>IF(ISBLANK(Term3_Early_Dismissal_2[[#This Row],[Activity]]),"",IF(_xlfn.XLOOKUP(Term3_Early_Dismissal_2[[#This Row],[Activity]],Types_of_Activity[Type of Activity],Types_of_Activity[Classification])=2,Term3_Early_Dismissal_2[[#This Row],[Elapsed]],0))</f>
        <v/>
      </c>
      <c r="O69"/>
      <c r="P69" s="135"/>
      <c r="Q69" s="135"/>
      <c r="R69" s="102"/>
      <c r="S69" s="105" t="str">
        <f>IF(OR(ISBLANK(Term3_Early_Dismissal_3[[#This Row],[Start]]),ISBLANK(Term3_Early_Dismissal_3[[#This Row],[End]])),"",(Term3_Early_Dismissal_3[[#This Row],[End]]-Term3_Early_Dismissal_3[[#This Row],[Start]])*1440)</f>
        <v/>
      </c>
      <c r="T69" s="105" t="str">
        <f>IF(ISBLANK(Term3_Early_Dismissal_3[[#This Row],[Activity]]),"",IF(_xlfn.XLOOKUP(Term3_Early_Dismissal_3[[#This Row],[Activity]],Types_of_Activity[Type of Activity],Types_of_Activity[Classification])=1,Term3_Early_Dismissal_3[[#This Row],[Elapsed]],0))</f>
        <v/>
      </c>
      <c r="U69" s="105" t="str">
        <f>IF(ISBLANK(Term3_Early_Dismissal_3[[#This Row],[Activity]]),"",IF(_xlfn.XLOOKUP(Term3_Early_Dismissal_3[[#This Row],[Activity]],Types_of_Activity[Type of Activity],Types_of_Activity[Classification])=2,Term3_Early_Dismissal_3[[#This Row],[Elapsed]],0))</f>
        <v/>
      </c>
      <c r="W69" s="135"/>
      <c r="X69" s="135"/>
      <c r="Y69" s="102"/>
      <c r="Z69" s="105" t="str">
        <f>IF(OR(ISBLANK(Term3_Early_Dismissal_4[[#This Row],[Start]]),ISBLANK(Term3_Early_Dismissal_4[[#This Row],[End]])),"",(Term3_Early_Dismissal_4[[#This Row],[End]]-Term3_Early_Dismissal_4[[#This Row],[Start]])*1440)</f>
        <v/>
      </c>
      <c r="AA69" s="105" t="str">
        <f>IF(ISBLANK(Term3_Early_Dismissal_4[[#This Row],[Activity]]),"",IF(_xlfn.XLOOKUP(Term3_Early_Dismissal_4[[#This Row],[Activity]],Types_of_Activity[Type of Activity],Types_of_Activity[Classification])=1,Term3_Early_Dismissal_4[[#This Row],[Elapsed]],0))</f>
        <v/>
      </c>
      <c r="AB69" s="105" t="str">
        <f>IF(ISBLANK(Term3_Early_Dismissal_4[[#This Row],[Activity]]),"",IF(_xlfn.XLOOKUP(Term3_Early_Dismissal_4[[#This Row],[Activity]],Types_of_Activity[Type of Activity],Types_of_Activity[Classification])=2,Term3_Early_Dismissal_4[[#This Row],[Elapsed]],0))</f>
        <v/>
      </c>
      <c r="AD69" s="135"/>
      <c r="AE69" s="135"/>
      <c r="AF69" s="102"/>
      <c r="AG69" s="105" t="str">
        <f>IF(OR(ISBLANK(Term3_Early_Dismissal_5[[#This Row],[Start]]),ISBLANK(Term3_Early_Dismissal_5[[#This Row],[End]])),"",(Term3_Early_Dismissal_5[[#This Row],[End]]-Term3_Early_Dismissal_5[[#This Row],[Start]])*1440)</f>
        <v/>
      </c>
      <c r="AH69" s="105" t="str">
        <f>IF(ISBLANK(Term3_Early_Dismissal_5[[#This Row],[Activity]]),"",IF(_xlfn.XLOOKUP(Term3_Early_Dismissal_5[[#This Row],[Activity]],Types_of_Activity[Type of Activity],Types_of_Activity[Classification])=1,Term3_Early_Dismissal_5[[#This Row],[Elapsed]],0))</f>
        <v/>
      </c>
      <c r="AI69" s="105" t="str">
        <f>IF(ISBLANK(Term3_Early_Dismissal_5[[#This Row],[Activity]]),"",IF(_xlfn.XLOOKUP(Term3_Early_Dismissal_5[[#This Row],[Activity]],Types_of_Activity[Type of Activity],Types_of_Activity[Classification])=2,Term3_Early_Dismissal_5[[#This Row],[Elapsed]],0))</f>
        <v/>
      </c>
      <c r="AK69" s="135"/>
      <c r="AL69" s="135"/>
      <c r="AM69" s="102"/>
      <c r="AN69" s="105" t="str">
        <f>IF(OR(ISBLANK(Term3_Early_Dismissal_6[[#This Row],[Start]]),ISBLANK(Term3_Early_Dismissal_6[[#This Row],[End]])),"",(Term3_Early_Dismissal_6[[#This Row],[End]]-Term3_Early_Dismissal_6[[#This Row],[Start]])*1440)</f>
        <v/>
      </c>
      <c r="AO69" s="105" t="str">
        <f>IF(ISBLANK(Term3_Early_Dismissal_6[[#This Row],[Activity]]),"",IF(_xlfn.XLOOKUP(Term3_Early_Dismissal_6[[#This Row],[Activity]],Types_of_Activity[Type of Activity],Types_of_Activity[Classification])=1,Term3_Early_Dismissal_6[[#This Row],[Elapsed]],0))</f>
        <v/>
      </c>
      <c r="AP69" s="105" t="str">
        <f>IF(ISBLANK(Term3_Early_Dismissal_6[[#This Row],[Activity]]),"",IF(_xlfn.XLOOKUP(Term3_Early_Dismissal_6[[#This Row],[Activity]],Types_of_Activity[Type of Activity],Types_of_Activity[Classification])=2,Term3_Early_Dismissal_6[[#This Row],[Elapsed]],0))</f>
        <v/>
      </c>
    </row>
    <row r="70" spans="2:42" x14ac:dyDescent="0.3">
      <c r="B70" s="135"/>
      <c r="C70" s="135"/>
      <c r="D70" s="102"/>
      <c r="E70" s="105" t="str">
        <f>IF(OR(ISBLANK(Term3_Early_Dismissal_1[[#This Row],[Start]]),ISBLANK(Term3_Early_Dismissal_1[[#This Row],[End]])),"",(Term3_Early_Dismissal_1[[#This Row],[End]]-Term3_Early_Dismissal_1[[#This Row],[Start]])*1440)</f>
        <v/>
      </c>
      <c r="F70" s="105" t="str">
        <f>IF(ISBLANK(Term3_Early_Dismissal_1[[#This Row],[Activity]]),"",IF(_xlfn.XLOOKUP(Term3_Early_Dismissal_1[[#This Row],[Activity]],Types_of_Activity[Type of Activity],Types_of_Activity[Classification])=1,Term3_Early_Dismissal_1[[#This Row],[Elapsed]],0))</f>
        <v/>
      </c>
      <c r="G70" s="105" t="str">
        <f>IF(ISBLANK(Term3_Early_Dismissal_1[[#This Row],[Activity]]),"",IF(_xlfn.XLOOKUP(Term3_Early_Dismissal_1[[#This Row],[Activity]],Types_of_Activity[Type of Activity],Types_of_Activity[Classification])=2,Term3_Early_Dismissal_1[[#This Row],[Elapsed]],0))</f>
        <v/>
      </c>
      <c r="H70"/>
      <c r="I70" s="135"/>
      <c r="J70" s="135"/>
      <c r="K70" s="102"/>
      <c r="L70" s="105" t="str">
        <f>IF(OR(ISBLANK(Term3_Early_Dismissal_2[[#This Row],[Start]]),ISBLANK(Term3_Early_Dismissal_2[[#This Row],[End]])),"",(Term3_Early_Dismissal_2[[#This Row],[End]]-Term3_Early_Dismissal_2[[#This Row],[Start]])*1440)</f>
        <v/>
      </c>
      <c r="M70" s="105" t="str">
        <f>IF(ISBLANK(Term3_Early_Dismissal_2[[#This Row],[Activity]]),"",IF(_xlfn.XLOOKUP(Term3_Early_Dismissal_2[[#This Row],[Activity]],Types_of_Activity[Type of Activity],Types_of_Activity[Classification])=1,Term3_Early_Dismissal_2[[#This Row],[Elapsed]],0))</f>
        <v/>
      </c>
      <c r="N70" s="105" t="str">
        <f>IF(ISBLANK(Term3_Early_Dismissal_2[[#This Row],[Activity]]),"",IF(_xlfn.XLOOKUP(Term3_Early_Dismissal_2[[#This Row],[Activity]],Types_of_Activity[Type of Activity],Types_of_Activity[Classification])=2,Term3_Early_Dismissal_2[[#This Row],[Elapsed]],0))</f>
        <v/>
      </c>
      <c r="O70"/>
      <c r="P70" s="135"/>
      <c r="Q70" s="135"/>
      <c r="R70" s="102"/>
      <c r="S70" s="105" t="str">
        <f>IF(OR(ISBLANK(Term3_Early_Dismissal_3[[#This Row],[Start]]),ISBLANK(Term3_Early_Dismissal_3[[#This Row],[End]])),"",(Term3_Early_Dismissal_3[[#This Row],[End]]-Term3_Early_Dismissal_3[[#This Row],[Start]])*1440)</f>
        <v/>
      </c>
      <c r="T70" s="105" t="str">
        <f>IF(ISBLANK(Term3_Early_Dismissal_3[[#This Row],[Activity]]),"",IF(_xlfn.XLOOKUP(Term3_Early_Dismissal_3[[#This Row],[Activity]],Types_of_Activity[Type of Activity],Types_of_Activity[Classification])=1,Term3_Early_Dismissal_3[[#This Row],[Elapsed]],0))</f>
        <v/>
      </c>
      <c r="U70" s="105" t="str">
        <f>IF(ISBLANK(Term3_Early_Dismissal_3[[#This Row],[Activity]]),"",IF(_xlfn.XLOOKUP(Term3_Early_Dismissal_3[[#This Row],[Activity]],Types_of_Activity[Type of Activity],Types_of_Activity[Classification])=2,Term3_Early_Dismissal_3[[#This Row],[Elapsed]],0))</f>
        <v/>
      </c>
      <c r="W70" s="135"/>
      <c r="X70" s="135"/>
      <c r="Y70" s="102"/>
      <c r="Z70" s="105" t="str">
        <f>IF(OR(ISBLANK(Term3_Early_Dismissal_4[[#This Row],[Start]]),ISBLANK(Term3_Early_Dismissal_4[[#This Row],[End]])),"",(Term3_Early_Dismissal_4[[#This Row],[End]]-Term3_Early_Dismissal_4[[#This Row],[Start]])*1440)</f>
        <v/>
      </c>
      <c r="AA70" s="105" t="str">
        <f>IF(ISBLANK(Term3_Early_Dismissal_4[[#This Row],[Activity]]),"",IF(_xlfn.XLOOKUP(Term3_Early_Dismissal_4[[#This Row],[Activity]],Types_of_Activity[Type of Activity],Types_of_Activity[Classification])=1,Term3_Early_Dismissal_4[[#This Row],[Elapsed]],0))</f>
        <v/>
      </c>
      <c r="AB70" s="105" t="str">
        <f>IF(ISBLANK(Term3_Early_Dismissal_4[[#This Row],[Activity]]),"",IF(_xlfn.XLOOKUP(Term3_Early_Dismissal_4[[#This Row],[Activity]],Types_of_Activity[Type of Activity],Types_of_Activity[Classification])=2,Term3_Early_Dismissal_4[[#This Row],[Elapsed]],0))</f>
        <v/>
      </c>
      <c r="AD70" s="135"/>
      <c r="AE70" s="135"/>
      <c r="AF70" s="102"/>
      <c r="AG70" s="105" t="str">
        <f>IF(OR(ISBLANK(Term3_Early_Dismissal_5[[#This Row],[Start]]),ISBLANK(Term3_Early_Dismissal_5[[#This Row],[End]])),"",(Term3_Early_Dismissal_5[[#This Row],[End]]-Term3_Early_Dismissal_5[[#This Row],[Start]])*1440)</f>
        <v/>
      </c>
      <c r="AH70" s="105" t="str">
        <f>IF(ISBLANK(Term3_Early_Dismissal_5[[#This Row],[Activity]]),"",IF(_xlfn.XLOOKUP(Term3_Early_Dismissal_5[[#This Row],[Activity]],Types_of_Activity[Type of Activity],Types_of_Activity[Classification])=1,Term3_Early_Dismissal_5[[#This Row],[Elapsed]],0))</f>
        <v/>
      </c>
      <c r="AI70" s="105" t="str">
        <f>IF(ISBLANK(Term3_Early_Dismissal_5[[#This Row],[Activity]]),"",IF(_xlfn.XLOOKUP(Term3_Early_Dismissal_5[[#This Row],[Activity]],Types_of_Activity[Type of Activity],Types_of_Activity[Classification])=2,Term3_Early_Dismissal_5[[#This Row],[Elapsed]],0))</f>
        <v/>
      </c>
      <c r="AK70" s="135"/>
      <c r="AL70" s="135"/>
      <c r="AM70" s="102"/>
      <c r="AN70" s="105" t="str">
        <f>IF(OR(ISBLANK(Term3_Early_Dismissal_6[[#This Row],[Start]]),ISBLANK(Term3_Early_Dismissal_6[[#This Row],[End]])),"",(Term3_Early_Dismissal_6[[#This Row],[End]]-Term3_Early_Dismissal_6[[#This Row],[Start]])*1440)</f>
        <v/>
      </c>
      <c r="AO70" s="105" t="str">
        <f>IF(ISBLANK(Term3_Early_Dismissal_6[[#This Row],[Activity]]),"",IF(_xlfn.XLOOKUP(Term3_Early_Dismissal_6[[#This Row],[Activity]],Types_of_Activity[Type of Activity],Types_of_Activity[Classification])=1,Term3_Early_Dismissal_6[[#This Row],[Elapsed]],0))</f>
        <v/>
      </c>
      <c r="AP70" s="105" t="str">
        <f>IF(ISBLANK(Term3_Early_Dismissal_6[[#This Row],[Activity]]),"",IF(_xlfn.XLOOKUP(Term3_Early_Dismissal_6[[#This Row],[Activity]],Types_of_Activity[Type of Activity],Types_of_Activity[Classification])=2,Term3_Early_Dismissal_6[[#This Row],[Elapsed]],0))</f>
        <v/>
      </c>
    </row>
    <row r="71" spans="2:42" x14ac:dyDescent="0.3">
      <c r="B71" s="135"/>
      <c r="C71" s="135"/>
      <c r="D71" s="102"/>
      <c r="E71" s="105" t="str">
        <f>IF(OR(ISBLANK(Term3_Early_Dismissal_1[[#This Row],[Start]]),ISBLANK(Term3_Early_Dismissal_1[[#This Row],[End]])),"",(Term3_Early_Dismissal_1[[#This Row],[End]]-Term3_Early_Dismissal_1[[#This Row],[Start]])*1440)</f>
        <v/>
      </c>
      <c r="F71" s="105" t="str">
        <f>IF(ISBLANK(Term3_Early_Dismissal_1[[#This Row],[Activity]]),"",IF(_xlfn.XLOOKUP(Term3_Early_Dismissal_1[[#This Row],[Activity]],Types_of_Activity[Type of Activity],Types_of_Activity[Classification])=1,Term3_Early_Dismissal_1[[#This Row],[Elapsed]],0))</f>
        <v/>
      </c>
      <c r="G71" s="105" t="str">
        <f>IF(ISBLANK(Term3_Early_Dismissal_1[[#This Row],[Activity]]),"",IF(_xlfn.XLOOKUP(Term3_Early_Dismissal_1[[#This Row],[Activity]],Types_of_Activity[Type of Activity],Types_of_Activity[Classification])=2,Term3_Early_Dismissal_1[[#This Row],[Elapsed]],0))</f>
        <v/>
      </c>
      <c r="H71"/>
      <c r="I71" s="135"/>
      <c r="J71" s="135"/>
      <c r="K71" s="102"/>
      <c r="L71" s="105" t="str">
        <f>IF(OR(ISBLANK(Term3_Early_Dismissal_2[[#This Row],[Start]]),ISBLANK(Term3_Early_Dismissal_2[[#This Row],[End]])),"",(Term3_Early_Dismissal_2[[#This Row],[End]]-Term3_Early_Dismissal_2[[#This Row],[Start]])*1440)</f>
        <v/>
      </c>
      <c r="M71" s="105" t="str">
        <f>IF(ISBLANK(Term3_Early_Dismissal_2[[#This Row],[Activity]]),"",IF(_xlfn.XLOOKUP(Term3_Early_Dismissal_2[[#This Row],[Activity]],Types_of_Activity[Type of Activity],Types_of_Activity[Classification])=1,Term3_Early_Dismissal_2[[#This Row],[Elapsed]],0))</f>
        <v/>
      </c>
      <c r="N71" s="105" t="str">
        <f>IF(ISBLANK(Term3_Early_Dismissal_2[[#This Row],[Activity]]),"",IF(_xlfn.XLOOKUP(Term3_Early_Dismissal_2[[#This Row],[Activity]],Types_of_Activity[Type of Activity],Types_of_Activity[Classification])=2,Term3_Early_Dismissal_2[[#This Row],[Elapsed]],0))</f>
        <v/>
      </c>
      <c r="O71"/>
      <c r="P71" s="135"/>
      <c r="Q71" s="135"/>
      <c r="R71" s="102"/>
      <c r="S71" s="105" t="str">
        <f>IF(OR(ISBLANK(Term3_Early_Dismissal_3[[#This Row],[Start]]),ISBLANK(Term3_Early_Dismissal_3[[#This Row],[End]])),"",(Term3_Early_Dismissal_3[[#This Row],[End]]-Term3_Early_Dismissal_3[[#This Row],[Start]])*1440)</f>
        <v/>
      </c>
      <c r="T71" s="105" t="str">
        <f>IF(ISBLANK(Term3_Early_Dismissal_3[[#This Row],[Activity]]),"",IF(_xlfn.XLOOKUP(Term3_Early_Dismissal_3[[#This Row],[Activity]],Types_of_Activity[Type of Activity],Types_of_Activity[Classification])=1,Term3_Early_Dismissal_3[[#This Row],[Elapsed]],0))</f>
        <v/>
      </c>
      <c r="U71" s="105" t="str">
        <f>IF(ISBLANK(Term3_Early_Dismissal_3[[#This Row],[Activity]]),"",IF(_xlfn.XLOOKUP(Term3_Early_Dismissal_3[[#This Row],[Activity]],Types_of_Activity[Type of Activity],Types_of_Activity[Classification])=2,Term3_Early_Dismissal_3[[#This Row],[Elapsed]],0))</f>
        <v/>
      </c>
      <c r="W71" s="135"/>
      <c r="X71" s="135"/>
      <c r="Y71" s="102"/>
      <c r="Z71" s="105" t="str">
        <f>IF(OR(ISBLANK(Term3_Early_Dismissal_4[[#This Row],[Start]]),ISBLANK(Term3_Early_Dismissal_4[[#This Row],[End]])),"",(Term3_Early_Dismissal_4[[#This Row],[End]]-Term3_Early_Dismissal_4[[#This Row],[Start]])*1440)</f>
        <v/>
      </c>
      <c r="AA71" s="105" t="str">
        <f>IF(ISBLANK(Term3_Early_Dismissal_4[[#This Row],[Activity]]),"",IF(_xlfn.XLOOKUP(Term3_Early_Dismissal_4[[#This Row],[Activity]],Types_of_Activity[Type of Activity],Types_of_Activity[Classification])=1,Term3_Early_Dismissal_4[[#This Row],[Elapsed]],0))</f>
        <v/>
      </c>
      <c r="AB71" s="105" t="str">
        <f>IF(ISBLANK(Term3_Early_Dismissal_4[[#This Row],[Activity]]),"",IF(_xlfn.XLOOKUP(Term3_Early_Dismissal_4[[#This Row],[Activity]],Types_of_Activity[Type of Activity],Types_of_Activity[Classification])=2,Term3_Early_Dismissal_4[[#This Row],[Elapsed]],0))</f>
        <v/>
      </c>
      <c r="AD71" s="135"/>
      <c r="AE71" s="135"/>
      <c r="AF71" s="102"/>
      <c r="AG71" s="105" t="str">
        <f>IF(OR(ISBLANK(Term3_Early_Dismissal_5[[#This Row],[Start]]),ISBLANK(Term3_Early_Dismissal_5[[#This Row],[End]])),"",(Term3_Early_Dismissal_5[[#This Row],[End]]-Term3_Early_Dismissal_5[[#This Row],[Start]])*1440)</f>
        <v/>
      </c>
      <c r="AH71" s="105" t="str">
        <f>IF(ISBLANK(Term3_Early_Dismissal_5[[#This Row],[Activity]]),"",IF(_xlfn.XLOOKUP(Term3_Early_Dismissal_5[[#This Row],[Activity]],Types_of_Activity[Type of Activity],Types_of_Activity[Classification])=1,Term3_Early_Dismissal_5[[#This Row],[Elapsed]],0))</f>
        <v/>
      </c>
      <c r="AI71" s="105" t="str">
        <f>IF(ISBLANK(Term3_Early_Dismissal_5[[#This Row],[Activity]]),"",IF(_xlfn.XLOOKUP(Term3_Early_Dismissal_5[[#This Row],[Activity]],Types_of_Activity[Type of Activity],Types_of_Activity[Classification])=2,Term3_Early_Dismissal_5[[#This Row],[Elapsed]],0))</f>
        <v/>
      </c>
      <c r="AK71" s="135"/>
      <c r="AL71" s="135"/>
      <c r="AM71" s="102"/>
      <c r="AN71" s="105" t="str">
        <f>IF(OR(ISBLANK(Term3_Early_Dismissal_6[[#This Row],[Start]]),ISBLANK(Term3_Early_Dismissal_6[[#This Row],[End]])),"",(Term3_Early_Dismissal_6[[#This Row],[End]]-Term3_Early_Dismissal_6[[#This Row],[Start]])*1440)</f>
        <v/>
      </c>
      <c r="AO71" s="105" t="str">
        <f>IF(ISBLANK(Term3_Early_Dismissal_6[[#This Row],[Activity]]),"",IF(_xlfn.XLOOKUP(Term3_Early_Dismissal_6[[#This Row],[Activity]],Types_of_Activity[Type of Activity],Types_of_Activity[Classification])=1,Term3_Early_Dismissal_6[[#This Row],[Elapsed]],0))</f>
        <v/>
      </c>
      <c r="AP71" s="105" t="str">
        <f>IF(ISBLANK(Term3_Early_Dismissal_6[[#This Row],[Activity]]),"",IF(_xlfn.XLOOKUP(Term3_Early_Dismissal_6[[#This Row],[Activity]],Types_of_Activity[Type of Activity],Types_of_Activity[Classification])=2,Term3_Early_Dismissal_6[[#This Row],[Elapsed]],0))</f>
        <v/>
      </c>
    </row>
    <row r="72" spans="2:42" x14ac:dyDescent="0.3">
      <c r="B72" s="135"/>
      <c r="C72" s="135"/>
      <c r="D72" s="102"/>
      <c r="E72" s="105" t="str">
        <f>IF(OR(ISBLANK(Term3_Early_Dismissal_1[[#This Row],[Start]]),ISBLANK(Term3_Early_Dismissal_1[[#This Row],[End]])),"",(Term3_Early_Dismissal_1[[#This Row],[End]]-Term3_Early_Dismissal_1[[#This Row],[Start]])*1440)</f>
        <v/>
      </c>
      <c r="F72" s="105" t="str">
        <f>IF(ISBLANK(Term3_Early_Dismissal_1[[#This Row],[Activity]]),"",IF(_xlfn.XLOOKUP(Term3_Early_Dismissal_1[[#This Row],[Activity]],Types_of_Activity[Type of Activity],Types_of_Activity[Classification])=1,Term3_Early_Dismissal_1[[#This Row],[Elapsed]],0))</f>
        <v/>
      </c>
      <c r="G72" s="105" t="str">
        <f>IF(ISBLANK(Term3_Early_Dismissal_1[[#This Row],[Activity]]),"",IF(_xlfn.XLOOKUP(Term3_Early_Dismissal_1[[#This Row],[Activity]],Types_of_Activity[Type of Activity],Types_of_Activity[Classification])=2,Term3_Early_Dismissal_1[[#This Row],[Elapsed]],0))</f>
        <v/>
      </c>
      <c r="H72"/>
      <c r="I72" s="135"/>
      <c r="J72" s="135"/>
      <c r="K72" s="102"/>
      <c r="L72" s="105" t="str">
        <f>IF(OR(ISBLANK(Term3_Early_Dismissal_2[[#This Row],[Start]]),ISBLANK(Term3_Early_Dismissal_2[[#This Row],[End]])),"",(Term3_Early_Dismissal_2[[#This Row],[End]]-Term3_Early_Dismissal_2[[#This Row],[Start]])*1440)</f>
        <v/>
      </c>
      <c r="M72" s="105" t="str">
        <f>IF(ISBLANK(Term3_Early_Dismissal_2[[#This Row],[Activity]]),"",IF(_xlfn.XLOOKUP(Term3_Early_Dismissal_2[[#This Row],[Activity]],Types_of_Activity[Type of Activity],Types_of_Activity[Classification])=1,Term3_Early_Dismissal_2[[#This Row],[Elapsed]],0))</f>
        <v/>
      </c>
      <c r="N72" s="105" t="str">
        <f>IF(ISBLANK(Term3_Early_Dismissal_2[[#This Row],[Activity]]),"",IF(_xlfn.XLOOKUP(Term3_Early_Dismissal_2[[#This Row],[Activity]],Types_of_Activity[Type of Activity],Types_of_Activity[Classification])=2,Term3_Early_Dismissal_2[[#This Row],[Elapsed]],0))</f>
        <v/>
      </c>
      <c r="O72"/>
      <c r="P72" s="135"/>
      <c r="Q72" s="135"/>
      <c r="R72" s="102"/>
      <c r="S72" s="105" t="str">
        <f>IF(OR(ISBLANK(Term3_Early_Dismissal_3[[#This Row],[Start]]),ISBLANK(Term3_Early_Dismissal_3[[#This Row],[End]])),"",(Term3_Early_Dismissal_3[[#This Row],[End]]-Term3_Early_Dismissal_3[[#This Row],[Start]])*1440)</f>
        <v/>
      </c>
      <c r="T72" s="105" t="str">
        <f>IF(ISBLANK(Term3_Early_Dismissal_3[[#This Row],[Activity]]),"",IF(_xlfn.XLOOKUP(Term3_Early_Dismissal_3[[#This Row],[Activity]],Types_of_Activity[Type of Activity],Types_of_Activity[Classification])=1,Term3_Early_Dismissal_3[[#This Row],[Elapsed]],0))</f>
        <v/>
      </c>
      <c r="U72" s="105" t="str">
        <f>IF(ISBLANK(Term3_Early_Dismissal_3[[#This Row],[Activity]]),"",IF(_xlfn.XLOOKUP(Term3_Early_Dismissal_3[[#This Row],[Activity]],Types_of_Activity[Type of Activity],Types_of_Activity[Classification])=2,Term3_Early_Dismissal_3[[#This Row],[Elapsed]],0))</f>
        <v/>
      </c>
      <c r="W72" s="135"/>
      <c r="X72" s="135"/>
      <c r="Y72" s="102"/>
      <c r="Z72" s="105" t="str">
        <f>IF(OR(ISBLANK(Term3_Early_Dismissal_4[[#This Row],[Start]]),ISBLANK(Term3_Early_Dismissal_4[[#This Row],[End]])),"",(Term3_Early_Dismissal_4[[#This Row],[End]]-Term3_Early_Dismissal_4[[#This Row],[Start]])*1440)</f>
        <v/>
      </c>
      <c r="AA72" s="105" t="str">
        <f>IF(ISBLANK(Term3_Early_Dismissal_4[[#This Row],[Activity]]),"",IF(_xlfn.XLOOKUP(Term3_Early_Dismissal_4[[#This Row],[Activity]],Types_of_Activity[Type of Activity],Types_of_Activity[Classification])=1,Term3_Early_Dismissal_4[[#This Row],[Elapsed]],0))</f>
        <v/>
      </c>
      <c r="AB72" s="105" t="str">
        <f>IF(ISBLANK(Term3_Early_Dismissal_4[[#This Row],[Activity]]),"",IF(_xlfn.XLOOKUP(Term3_Early_Dismissal_4[[#This Row],[Activity]],Types_of_Activity[Type of Activity],Types_of_Activity[Classification])=2,Term3_Early_Dismissal_4[[#This Row],[Elapsed]],0))</f>
        <v/>
      </c>
      <c r="AD72" s="135"/>
      <c r="AE72" s="135"/>
      <c r="AF72" s="102"/>
      <c r="AG72" s="105" t="str">
        <f>IF(OR(ISBLANK(Term3_Early_Dismissal_5[[#This Row],[Start]]),ISBLANK(Term3_Early_Dismissal_5[[#This Row],[End]])),"",(Term3_Early_Dismissal_5[[#This Row],[End]]-Term3_Early_Dismissal_5[[#This Row],[Start]])*1440)</f>
        <v/>
      </c>
      <c r="AH72" s="105" t="str">
        <f>IF(ISBLANK(Term3_Early_Dismissal_5[[#This Row],[Activity]]),"",IF(_xlfn.XLOOKUP(Term3_Early_Dismissal_5[[#This Row],[Activity]],Types_of_Activity[Type of Activity],Types_of_Activity[Classification])=1,Term3_Early_Dismissal_5[[#This Row],[Elapsed]],0))</f>
        <v/>
      </c>
      <c r="AI72" s="105" t="str">
        <f>IF(ISBLANK(Term3_Early_Dismissal_5[[#This Row],[Activity]]),"",IF(_xlfn.XLOOKUP(Term3_Early_Dismissal_5[[#This Row],[Activity]],Types_of_Activity[Type of Activity],Types_of_Activity[Classification])=2,Term3_Early_Dismissal_5[[#This Row],[Elapsed]],0))</f>
        <v/>
      </c>
      <c r="AK72" s="135"/>
      <c r="AL72" s="135"/>
      <c r="AM72" s="102"/>
      <c r="AN72" s="105" t="str">
        <f>IF(OR(ISBLANK(Term3_Early_Dismissal_6[[#This Row],[Start]]),ISBLANK(Term3_Early_Dismissal_6[[#This Row],[End]])),"",(Term3_Early_Dismissal_6[[#This Row],[End]]-Term3_Early_Dismissal_6[[#This Row],[Start]])*1440)</f>
        <v/>
      </c>
      <c r="AO72" s="105" t="str">
        <f>IF(ISBLANK(Term3_Early_Dismissal_6[[#This Row],[Activity]]),"",IF(_xlfn.XLOOKUP(Term3_Early_Dismissal_6[[#This Row],[Activity]],Types_of_Activity[Type of Activity],Types_of_Activity[Classification])=1,Term3_Early_Dismissal_6[[#This Row],[Elapsed]],0))</f>
        <v/>
      </c>
      <c r="AP72" s="105" t="str">
        <f>IF(ISBLANK(Term3_Early_Dismissal_6[[#This Row],[Activity]]),"",IF(_xlfn.XLOOKUP(Term3_Early_Dismissal_6[[#This Row],[Activity]],Types_of_Activity[Type of Activity],Types_of_Activity[Classification])=2,Term3_Early_Dismissal_6[[#This Row],[Elapsed]],0))</f>
        <v/>
      </c>
    </row>
    <row r="73" spans="2:42" x14ac:dyDescent="0.3">
      <c r="B73" s="135"/>
      <c r="C73" s="135"/>
      <c r="D73" s="102"/>
      <c r="E73" s="105" t="str">
        <f>IF(OR(ISBLANK(Term3_Early_Dismissal_1[[#This Row],[Start]]),ISBLANK(Term3_Early_Dismissal_1[[#This Row],[End]])),"",(Term3_Early_Dismissal_1[[#This Row],[End]]-Term3_Early_Dismissal_1[[#This Row],[Start]])*1440)</f>
        <v/>
      </c>
      <c r="F73" s="105" t="str">
        <f>IF(ISBLANK(Term3_Early_Dismissal_1[[#This Row],[Activity]]),"",IF(_xlfn.XLOOKUP(Term3_Early_Dismissal_1[[#This Row],[Activity]],Types_of_Activity[Type of Activity],Types_of_Activity[Classification])=1,Term3_Early_Dismissal_1[[#This Row],[Elapsed]],0))</f>
        <v/>
      </c>
      <c r="G73" s="105" t="str">
        <f>IF(ISBLANK(Term3_Early_Dismissal_1[[#This Row],[Activity]]),"",IF(_xlfn.XLOOKUP(Term3_Early_Dismissal_1[[#This Row],[Activity]],Types_of_Activity[Type of Activity],Types_of_Activity[Classification])=2,Term3_Early_Dismissal_1[[#This Row],[Elapsed]],0))</f>
        <v/>
      </c>
      <c r="H73"/>
      <c r="I73" s="135"/>
      <c r="J73" s="135"/>
      <c r="K73" s="102"/>
      <c r="L73" s="105" t="str">
        <f>IF(OR(ISBLANK(Term3_Early_Dismissal_2[[#This Row],[Start]]),ISBLANK(Term3_Early_Dismissal_2[[#This Row],[End]])),"",(Term3_Early_Dismissal_2[[#This Row],[End]]-Term3_Early_Dismissal_2[[#This Row],[Start]])*1440)</f>
        <v/>
      </c>
      <c r="M73" s="105" t="str">
        <f>IF(ISBLANK(Term3_Early_Dismissal_2[[#This Row],[Activity]]),"",IF(_xlfn.XLOOKUP(Term3_Early_Dismissal_2[[#This Row],[Activity]],Types_of_Activity[Type of Activity],Types_of_Activity[Classification])=1,Term3_Early_Dismissal_2[[#This Row],[Elapsed]],0))</f>
        <v/>
      </c>
      <c r="N73" s="105" t="str">
        <f>IF(ISBLANK(Term3_Early_Dismissal_2[[#This Row],[Activity]]),"",IF(_xlfn.XLOOKUP(Term3_Early_Dismissal_2[[#This Row],[Activity]],Types_of_Activity[Type of Activity],Types_of_Activity[Classification])=2,Term3_Early_Dismissal_2[[#This Row],[Elapsed]],0))</f>
        <v/>
      </c>
      <c r="O73"/>
      <c r="P73" s="135"/>
      <c r="Q73" s="135"/>
      <c r="R73" s="102"/>
      <c r="S73" s="105" t="str">
        <f>IF(OR(ISBLANK(Term3_Early_Dismissal_3[[#This Row],[Start]]),ISBLANK(Term3_Early_Dismissal_3[[#This Row],[End]])),"",(Term3_Early_Dismissal_3[[#This Row],[End]]-Term3_Early_Dismissal_3[[#This Row],[Start]])*1440)</f>
        <v/>
      </c>
      <c r="T73" s="105" t="str">
        <f>IF(ISBLANK(Term3_Early_Dismissal_3[[#This Row],[Activity]]),"",IF(_xlfn.XLOOKUP(Term3_Early_Dismissal_3[[#This Row],[Activity]],Types_of_Activity[Type of Activity],Types_of_Activity[Classification])=1,Term3_Early_Dismissal_3[[#This Row],[Elapsed]],0))</f>
        <v/>
      </c>
      <c r="U73" s="105" t="str">
        <f>IF(ISBLANK(Term3_Early_Dismissal_3[[#This Row],[Activity]]),"",IF(_xlfn.XLOOKUP(Term3_Early_Dismissal_3[[#This Row],[Activity]],Types_of_Activity[Type of Activity],Types_of_Activity[Classification])=2,Term3_Early_Dismissal_3[[#This Row],[Elapsed]],0))</f>
        <v/>
      </c>
      <c r="W73" s="135"/>
      <c r="X73" s="135"/>
      <c r="Y73" s="102"/>
      <c r="Z73" s="105" t="str">
        <f>IF(OR(ISBLANK(Term3_Early_Dismissal_4[[#This Row],[Start]]),ISBLANK(Term3_Early_Dismissal_4[[#This Row],[End]])),"",(Term3_Early_Dismissal_4[[#This Row],[End]]-Term3_Early_Dismissal_4[[#This Row],[Start]])*1440)</f>
        <v/>
      </c>
      <c r="AA73" s="105" t="str">
        <f>IF(ISBLANK(Term3_Early_Dismissal_4[[#This Row],[Activity]]),"",IF(_xlfn.XLOOKUP(Term3_Early_Dismissal_4[[#This Row],[Activity]],Types_of_Activity[Type of Activity],Types_of_Activity[Classification])=1,Term3_Early_Dismissal_4[[#This Row],[Elapsed]],0))</f>
        <v/>
      </c>
      <c r="AB73" s="105" t="str">
        <f>IF(ISBLANK(Term3_Early_Dismissal_4[[#This Row],[Activity]]),"",IF(_xlfn.XLOOKUP(Term3_Early_Dismissal_4[[#This Row],[Activity]],Types_of_Activity[Type of Activity],Types_of_Activity[Classification])=2,Term3_Early_Dismissal_4[[#This Row],[Elapsed]],0))</f>
        <v/>
      </c>
      <c r="AD73" s="135"/>
      <c r="AE73" s="135"/>
      <c r="AF73" s="102"/>
      <c r="AG73" s="105" t="str">
        <f>IF(OR(ISBLANK(Term3_Early_Dismissal_5[[#This Row],[Start]]),ISBLANK(Term3_Early_Dismissal_5[[#This Row],[End]])),"",(Term3_Early_Dismissal_5[[#This Row],[End]]-Term3_Early_Dismissal_5[[#This Row],[Start]])*1440)</f>
        <v/>
      </c>
      <c r="AH73" s="105" t="str">
        <f>IF(ISBLANK(Term3_Early_Dismissal_5[[#This Row],[Activity]]),"",IF(_xlfn.XLOOKUP(Term3_Early_Dismissal_5[[#This Row],[Activity]],Types_of_Activity[Type of Activity],Types_of_Activity[Classification])=1,Term3_Early_Dismissal_5[[#This Row],[Elapsed]],0))</f>
        <v/>
      </c>
      <c r="AI73" s="105" t="str">
        <f>IF(ISBLANK(Term3_Early_Dismissal_5[[#This Row],[Activity]]),"",IF(_xlfn.XLOOKUP(Term3_Early_Dismissal_5[[#This Row],[Activity]],Types_of_Activity[Type of Activity],Types_of_Activity[Classification])=2,Term3_Early_Dismissal_5[[#This Row],[Elapsed]],0))</f>
        <v/>
      </c>
      <c r="AK73" s="135"/>
      <c r="AL73" s="135"/>
      <c r="AM73" s="102"/>
      <c r="AN73" s="105" t="str">
        <f>IF(OR(ISBLANK(Term3_Early_Dismissal_6[[#This Row],[Start]]),ISBLANK(Term3_Early_Dismissal_6[[#This Row],[End]])),"",(Term3_Early_Dismissal_6[[#This Row],[End]]-Term3_Early_Dismissal_6[[#This Row],[Start]])*1440)</f>
        <v/>
      </c>
      <c r="AO73" s="105" t="str">
        <f>IF(ISBLANK(Term3_Early_Dismissal_6[[#This Row],[Activity]]),"",IF(_xlfn.XLOOKUP(Term3_Early_Dismissal_6[[#This Row],[Activity]],Types_of_Activity[Type of Activity],Types_of_Activity[Classification])=1,Term3_Early_Dismissal_6[[#This Row],[Elapsed]],0))</f>
        <v/>
      </c>
      <c r="AP73" s="105" t="str">
        <f>IF(ISBLANK(Term3_Early_Dismissal_6[[#This Row],[Activity]]),"",IF(_xlfn.XLOOKUP(Term3_Early_Dismissal_6[[#This Row],[Activity]],Types_of_Activity[Type of Activity],Types_of_Activity[Classification])=2,Term3_Early_Dismissal_6[[#This Row],[Elapsed]],0))</f>
        <v/>
      </c>
    </row>
    <row r="74" spans="2:42" x14ac:dyDescent="0.3">
      <c r="B74" s="135"/>
      <c r="C74" s="135"/>
      <c r="D74" s="102"/>
      <c r="E74" s="105" t="str">
        <f>IF(OR(ISBLANK(Term3_Early_Dismissal_1[[#This Row],[Start]]),ISBLANK(Term3_Early_Dismissal_1[[#This Row],[End]])),"",(Term3_Early_Dismissal_1[[#This Row],[End]]-Term3_Early_Dismissal_1[[#This Row],[Start]])*1440)</f>
        <v/>
      </c>
      <c r="F74" s="105" t="str">
        <f>IF(ISBLANK(Term3_Early_Dismissal_1[[#This Row],[Activity]]),"",IF(_xlfn.XLOOKUP(Term3_Early_Dismissal_1[[#This Row],[Activity]],Types_of_Activity[Type of Activity],Types_of_Activity[Classification])=1,Term3_Early_Dismissal_1[[#This Row],[Elapsed]],0))</f>
        <v/>
      </c>
      <c r="G74" s="105" t="str">
        <f>IF(ISBLANK(Term3_Early_Dismissal_1[[#This Row],[Activity]]),"",IF(_xlfn.XLOOKUP(Term3_Early_Dismissal_1[[#This Row],[Activity]],Types_of_Activity[Type of Activity],Types_of_Activity[Classification])=2,Term3_Early_Dismissal_1[[#This Row],[Elapsed]],0))</f>
        <v/>
      </c>
      <c r="H74"/>
      <c r="I74" s="135"/>
      <c r="J74" s="135"/>
      <c r="K74" s="102"/>
      <c r="L74" s="105" t="str">
        <f>IF(OR(ISBLANK(Term3_Early_Dismissal_2[[#This Row],[Start]]),ISBLANK(Term3_Early_Dismissal_2[[#This Row],[End]])),"",(Term3_Early_Dismissal_2[[#This Row],[End]]-Term3_Early_Dismissal_2[[#This Row],[Start]])*1440)</f>
        <v/>
      </c>
      <c r="M74" s="105" t="str">
        <f>IF(ISBLANK(Term3_Early_Dismissal_2[[#This Row],[Activity]]),"",IF(_xlfn.XLOOKUP(Term3_Early_Dismissal_2[[#This Row],[Activity]],Types_of_Activity[Type of Activity],Types_of_Activity[Classification])=1,Term3_Early_Dismissal_2[[#This Row],[Elapsed]],0))</f>
        <v/>
      </c>
      <c r="N74" s="105" t="str">
        <f>IF(ISBLANK(Term3_Early_Dismissal_2[[#This Row],[Activity]]),"",IF(_xlfn.XLOOKUP(Term3_Early_Dismissal_2[[#This Row],[Activity]],Types_of_Activity[Type of Activity],Types_of_Activity[Classification])=2,Term3_Early_Dismissal_2[[#This Row],[Elapsed]],0))</f>
        <v/>
      </c>
      <c r="O74"/>
      <c r="P74" s="135"/>
      <c r="Q74" s="135"/>
      <c r="R74" s="102"/>
      <c r="S74" s="105" t="str">
        <f>IF(OR(ISBLANK(Term3_Early_Dismissal_3[[#This Row],[Start]]),ISBLANK(Term3_Early_Dismissal_3[[#This Row],[End]])),"",(Term3_Early_Dismissal_3[[#This Row],[End]]-Term3_Early_Dismissal_3[[#This Row],[Start]])*1440)</f>
        <v/>
      </c>
      <c r="T74" s="105" t="str">
        <f>IF(ISBLANK(Term3_Early_Dismissal_3[[#This Row],[Activity]]),"",IF(_xlfn.XLOOKUP(Term3_Early_Dismissal_3[[#This Row],[Activity]],Types_of_Activity[Type of Activity],Types_of_Activity[Classification])=1,Term3_Early_Dismissal_3[[#This Row],[Elapsed]],0))</f>
        <v/>
      </c>
      <c r="U74" s="105" t="str">
        <f>IF(ISBLANK(Term3_Early_Dismissal_3[[#This Row],[Activity]]),"",IF(_xlfn.XLOOKUP(Term3_Early_Dismissal_3[[#This Row],[Activity]],Types_of_Activity[Type of Activity],Types_of_Activity[Classification])=2,Term3_Early_Dismissal_3[[#This Row],[Elapsed]],0))</f>
        <v/>
      </c>
      <c r="W74" s="135"/>
      <c r="X74" s="135"/>
      <c r="Y74" s="102"/>
      <c r="Z74" s="105" t="str">
        <f>IF(OR(ISBLANK(Term3_Early_Dismissal_4[[#This Row],[Start]]),ISBLANK(Term3_Early_Dismissal_4[[#This Row],[End]])),"",(Term3_Early_Dismissal_4[[#This Row],[End]]-Term3_Early_Dismissal_4[[#This Row],[Start]])*1440)</f>
        <v/>
      </c>
      <c r="AA74" s="105" t="str">
        <f>IF(ISBLANK(Term3_Early_Dismissal_4[[#This Row],[Activity]]),"",IF(_xlfn.XLOOKUP(Term3_Early_Dismissal_4[[#This Row],[Activity]],Types_of_Activity[Type of Activity],Types_of_Activity[Classification])=1,Term3_Early_Dismissal_4[[#This Row],[Elapsed]],0))</f>
        <v/>
      </c>
      <c r="AB74" s="105" t="str">
        <f>IF(ISBLANK(Term3_Early_Dismissal_4[[#This Row],[Activity]]),"",IF(_xlfn.XLOOKUP(Term3_Early_Dismissal_4[[#This Row],[Activity]],Types_of_Activity[Type of Activity],Types_of_Activity[Classification])=2,Term3_Early_Dismissal_4[[#This Row],[Elapsed]],0))</f>
        <v/>
      </c>
      <c r="AD74" s="135"/>
      <c r="AE74" s="135"/>
      <c r="AF74" s="102"/>
      <c r="AG74" s="105" t="str">
        <f>IF(OR(ISBLANK(Term3_Early_Dismissal_5[[#This Row],[Start]]),ISBLANK(Term3_Early_Dismissal_5[[#This Row],[End]])),"",(Term3_Early_Dismissal_5[[#This Row],[End]]-Term3_Early_Dismissal_5[[#This Row],[Start]])*1440)</f>
        <v/>
      </c>
      <c r="AH74" s="105" t="str">
        <f>IF(ISBLANK(Term3_Early_Dismissal_5[[#This Row],[Activity]]),"",IF(_xlfn.XLOOKUP(Term3_Early_Dismissal_5[[#This Row],[Activity]],Types_of_Activity[Type of Activity],Types_of_Activity[Classification])=1,Term3_Early_Dismissal_5[[#This Row],[Elapsed]],0))</f>
        <v/>
      </c>
      <c r="AI74" s="105" t="str">
        <f>IF(ISBLANK(Term3_Early_Dismissal_5[[#This Row],[Activity]]),"",IF(_xlfn.XLOOKUP(Term3_Early_Dismissal_5[[#This Row],[Activity]],Types_of_Activity[Type of Activity],Types_of_Activity[Classification])=2,Term3_Early_Dismissal_5[[#This Row],[Elapsed]],0))</f>
        <v/>
      </c>
      <c r="AK74" s="135"/>
      <c r="AL74" s="135"/>
      <c r="AM74" s="102"/>
      <c r="AN74" s="105" t="str">
        <f>IF(OR(ISBLANK(Term3_Early_Dismissal_6[[#This Row],[Start]]),ISBLANK(Term3_Early_Dismissal_6[[#This Row],[End]])),"",(Term3_Early_Dismissal_6[[#This Row],[End]]-Term3_Early_Dismissal_6[[#This Row],[Start]])*1440)</f>
        <v/>
      </c>
      <c r="AO74" s="105" t="str">
        <f>IF(ISBLANK(Term3_Early_Dismissal_6[[#This Row],[Activity]]),"",IF(_xlfn.XLOOKUP(Term3_Early_Dismissal_6[[#This Row],[Activity]],Types_of_Activity[Type of Activity],Types_of_Activity[Classification])=1,Term3_Early_Dismissal_6[[#This Row],[Elapsed]],0))</f>
        <v/>
      </c>
      <c r="AP74" s="105" t="str">
        <f>IF(ISBLANK(Term3_Early_Dismissal_6[[#This Row],[Activity]]),"",IF(_xlfn.XLOOKUP(Term3_Early_Dismissal_6[[#This Row],[Activity]],Types_of_Activity[Type of Activity],Types_of_Activity[Classification])=2,Term3_Early_Dismissal_6[[#This Row],[Elapsed]],0))</f>
        <v/>
      </c>
    </row>
    <row r="75" spans="2:42" x14ac:dyDescent="0.3">
      <c r="B75" s="135"/>
      <c r="C75" s="135"/>
      <c r="D75" s="102"/>
      <c r="E75" s="105" t="str">
        <f>IF(OR(ISBLANK(Term3_Early_Dismissal_1[[#This Row],[Start]]),ISBLANK(Term3_Early_Dismissal_1[[#This Row],[End]])),"",(Term3_Early_Dismissal_1[[#This Row],[End]]-Term3_Early_Dismissal_1[[#This Row],[Start]])*1440)</f>
        <v/>
      </c>
      <c r="F75" s="105" t="str">
        <f>IF(ISBLANK(Term3_Early_Dismissal_1[[#This Row],[Activity]]),"",IF(_xlfn.XLOOKUP(Term3_Early_Dismissal_1[[#This Row],[Activity]],Types_of_Activity[Type of Activity],Types_of_Activity[Classification])=1,Term3_Early_Dismissal_1[[#This Row],[Elapsed]],0))</f>
        <v/>
      </c>
      <c r="G75" s="105" t="str">
        <f>IF(ISBLANK(Term3_Early_Dismissal_1[[#This Row],[Activity]]),"",IF(_xlfn.XLOOKUP(Term3_Early_Dismissal_1[[#This Row],[Activity]],Types_of_Activity[Type of Activity],Types_of_Activity[Classification])=2,Term3_Early_Dismissal_1[[#This Row],[Elapsed]],0))</f>
        <v/>
      </c>
      <c r="H75"/>
      <c r="I75" s="135"/>
      <c r="J75" s="135"/>
      <c r="K75" s="102"/>
      <c r="L75" s="105" t="str">
        <f>IF(OR(ISBLANK(Term3_Early_Dismissal_2[[#This Row],[Start]]),ISBLANK(Term3_Early_Dismissal_2[[#This Row],[End]])),"",(Term3_Early_Dismissal_2[[#This Row],[End]]-Term3_Early_Dismissal_2[[#This Row],[Start]])*1440)</f>
        <v/>
      </c>
      <c r="M75" s="105" t="str">
        <f>IF(ISBLANK(Term3_Early_Dismissal_2[[#This Row],[Activity]]),"",IF(_xlfn.XLOOKUP(Term3_Early_Dismissal_2[[#This Row],[Activity]],Types_of_Activity[Type of Activity],Types_of_Activity[Classification])=1,Term3_Early_Dismissal_2[[#This Row],[Elapsed]],0))</f>
        <v/>
      </c>
      <c r="N75" s="105" t="str">
        <f>IF(ISBLANK(Term3_Early_Dismissal_2[[#This Row],[Activity]]),"",IF(_xlfn.XLOOKUP(Term3_Early_Dismissal_2[[#This Row],[Activity]],Types_of_Activity[Type of Activity],Types_of_Activity[Classification])=2,Term3_Early_Dismissal_2[[#This Row],[Elapsed]],0))</f>
        <v/>
      </c>
      <c r="O75"/>
      <c r="P75" s="135"/>
      <c r="Q75" s="135"/>
      <c r="R75" s="102"/>
      <c r="S75" s="105" t="str">
        <f>IF(OR(ISBLANK(Term3_Early_Dismissal_3[[#This Row],[Start]]),ISBLANK(Term3_Early_Dismissal_3[[#This Row],[End]])),"",(Term3_Early_Dismissal_3[[#This Row],[End]]-Term3_Early_Dismissal_3[[#This Row],[Start]])*1440)</f>
        <v/>
      </c>
      <c r="T75" s="105" t="str">
        <f>IF(ISBLANK(Term3_Early_Dismissal_3[[#This Row],[Activity]]),"",IF(_xlfn.XLOOKUP(Term3_Early_Dismissal_3[[#This Row],[Activity]],Types_of_Activity[Type of Activity],Types_of_Activity[Classification])=1,Term3_Early_Dismissal_3[[#This Row],[Elapsed]],0))</f>
        <v/>
      </c>
      <c r="U75" s="105" t="str">
        <f>IF(ISBLANK(Term3_Early_Dismissal_3[[#This Row],[Activity]]),"",IF(_xlfn.XLOOKUP(Term3_Early_Dismissal_3[[#This Row],[Activity]],Types_of_Activity[Type of Activity],Types_of_Activity[Classification])=2,Term3_Early_Dismissal_3[[#This Row],[Elapsed]],0))</f>
        <v/>
      </c>
      <c r="W75" s="135"/>
      <c r="X75" s="135"/>
      <c r="Y75" s="102"/>
      <c r="Z75" s="105" t="str">
        <f>IF(OR(ISBLANK(Term3_Early_Dismissal_4[[#This Row],[Start]]),ISBLANK(Term3_Early_Dismissal_4[[#This Row],[End]])),"",(Term3_Early_Dismissal_4[[#This Row],[End]]-Term3_Early_Dismissal_4[[#This Row],[Start]])*1440)</f>
        <v/>
      </c>
      <c r="AA75" s="105" t="str">
        <f>IF(ISBLANK(Term3_Early_Dismissal_4[[#This Row],[Activity]]),"",IF(_xlfn.XLOOKUP(Term3_Early_Dismissal_4[[#This Row],[Activity]],Types_of_Activity[Type of Activity],Types_of_Activity[Classification])=1,Term3_Early_Dismissal_4[[#This Row],[Elapsed]],0))</f>
        <v/>
      </c>
      <c r="AB75" s="105" t="str">
        <f>IF(ISBLANK(Term3_Early_Dismissal_4[[#This Row],[Activity]]),"",IF(_xlfn.XLOOKUP(Term3_Early_Dismissal_4[[#This Row],[Activity]],Types_of_Activity[Type of Activity],Types_of_Activity[Classification])=2,Term3_Early_Dismissal_4[[#This Row],[Elapsed]],0))</f>
        <v/>
      </c>
      <c r="AD75" s="135"/>
      <c r="AE75" s="135"/>
      <c r="AF75" s="102"/>
      <c r="AG75" s="105" t="str">
        <f>IF(OR(ISBLANK(Term3_Early_Dismissal_5[[#This Row],[Start]]),ISBLANK(Term3_Early_Dismissal_5[[#This Row],[End]])),"",(Term3_Early_Dismissal_5[[#This Row],[End]]-Term3_Early_Dismissal_5[[#This Row],[Start]])*1440)</f>
        <v/>
      </c>
      <c r="AH75" s="105" t="str">
        <f>IF(ISBLANK(Term3_Early_Dismissal_5[[#This Row],[Activity]]),"",IF(_xlfn.XLOOKUP(Term3_Early_Dismissal_5[[#This Row],[Activity]],Types_of_Activity[Type of Activity],Types_of_Activity[Classification])=1,Term3_Early_Dismissal_5[[#This Row],[Elapsed]],0))</f>
        <v/>
      </c>
      <c r="AI75" s="105" t="str">
        <f>IF(ISBLANK(Term3_Early_Dismissal_5[[#This Row],[Activity]]),"",IF(_xlfn.XLOOKUP(Term3_Early_Dismissal_5[[#This Row],[Activity]],Types_of_Activity[Type of Activity],Types_of_Activity[Classification])=2,Term3_Early_Dismissal_5[[#This Row],[Elapsed]],0))</f>
        <v/>
      </c>
      <c r="AK75" s="135"/>
      <c r="AL75" s="135"/>
      <c r="AM75" s="102"/>
      <c r="AN75" s="105" t="str">
        <f>IF(OR(ISBLANK(Term3_Early_Dismissal_6[[#This Row],[Start]]),ISBLANK(Term3_Early_Dismissal_6[[#This Row],[End]])),"",(Term3_Early_Dismissal_6[[#This Row],[End]]-Term3_Early_Dismissal_6[[#This Row],[Start]])*1440)</f>
        <v/>
      </c>
      <c r="AO75" s="105" t="str">
        <f>IF(ISBLANK(Term3_Early_Dismissal_6[[#This Row],[Activity]]),"",IF(_xlfn.XLOOKUP(Term3_Early_Dismissal_6[[#This Row],[Activity]],Types_of_Activity[Type of Activity],Types_of_Activity[Classification])=1,Term3_Early_Dismissal_6[[#This Row],[Elapsed]],0))</f>
        <v/>
      </c>
      <c r="AP75" s="105" t="str">
        <f>IF(ISBLANK(Term3_Early_Dismissal_6[[#This Row],[Activity]]),"",IF(_xlfn.XLOOKUP(Term3_Early_Dismissal_6[[#This Row],[Activity]],Types_of_Activity[Type of Activity],Types_of_Activity[Classification])=2,Term3_Early_Dismissal_6[[#This Row],[Elapsed]],0))</f>
        <v/>
      </c>
    </row>
    <row r="76" spans="2:42" x14ac:dyDescent="0.3">
      <c r="B76" s="135"/>
      <c r="C76" s="135"/>
      <c r="D76" s="102"/>
      <c r="E76" s="105" t="str">
        <f>IF(OR(ISBLANK(Term3_Early_Dismissal_1[[#This Row],[Start]]),ISBLANK(Term3_Early_Dismissal_1[[#This Row],[End]])),"",(Term3_Early_Dismissal_1[[#This Row],[End]]-Term3_Early_Dismissal_1[[#This Row],[Start]])*1440)</f>
        <v/>
      </c>
      <c r="F76" s="105" t="str">
        <f>IF(ISBLANK(Term3_Early_Dismissal_1[[#This Row],[Activity]]),"",IF(_xlfn.XLOOKUP(Term3_Early_Dismissal_1[[#This Row],[Activity]],Types_of_Activity[Type of Activity],Types_of_Activity[Classification])=1,Term3_Early_Dismissal_1[[#This Row],[Elapsed]],0))</f>
        <v/>
      </c>
      <c r="G76" s="105" t="str">
        <f>IF(ISBLANK(Term3_Early_Dismissal_1[[#This Row],[Activity]]),"",IF(_xlfn.XLOOKUP(Term3_Early_Dismissal_1[[#This Row],[Activity]],Types_of_Activity[Type of Activity],Types_of_Activity[Classification])=2,Term3_Early_Dismissal_1[[#This Row],[Elapsed]],0))</f>
        <v/>
      </c>
      <c r="H76"/>
      <c r="I76" s="135"/>
      <c r="J76" s="135"/>
      <c r="K76" s="102"/>
      <c r="L76" s="105" t="str">
        <f>IF(OR(ISBLANK(Term3_Early_Dismissal_2[[#This Row],[Start]]),ISBLANK(Term3_Early_Dismissal_2[[#This Row],[End]])),"",(Term3_Early_Dismissal_2[[#This Row],[End]]-Term3_Early_Dismissal_2[[#This Row],[Start]])*1440)</f>
        <v/>
      </c>
      <c r="M76" s="105" t="str">
        <f>IF(ISBLANK(Term3_Early_Dismissal_2[[#This Row],[Activity]]),"",IF(_xlfn.XLOOKUP(Term3_Early_Dismissal_2[[#This Row],[Activity]],Types_of_Activity[Type of Activity],Types_of_Activity[Classification])=1,Term3_Early_Dismissal_2[[#This Row],[Elapsed]],0))</f>
        <v/>
      </c>
      <c r="N76" s="105" t="str">
        <f>IF(ISBLANK(Term3_Early_Dismissal_2[[#This Row],[Activity]]),"",IF(_xlfn.XLOOKUP(Term3_Early_Dismissal_2[[#This Row],[Activity]],Types_of_Activity[Type of Activity],Types_of_Activity[Classification])=2,Term3_Early_Dismissal_2[[#This Row],[Elapsed]],0))</f>
        <v/>
      </c>
      <c r="O76"/>
      <c r="P76" s="135"/>
      <c r="Q76" s="135"/>
      <c r="R76" s="102"/>
      <c r="S76" s="105" t="str">
        <f>IF(OR(ISBLANK(Term3_Early_Dismissal_3[[#This Row],[Start]]),ISBLANK(Term3_Early_Dismissal_3[[#This Row],[End]])),"",(Term3_Early_Dismissal_3[[#This Row],[End]]-Term3_Early_Dismissal_3[[#This Row],[Start]])*1440)</f>
        <v/>
      </c>
      <c r="T76" s="105" t="str">
        <f>IF(ISBLANK(Term3_Early_Dismissal_3[[#This Row],[Activity]]),"",IF(_xlfn.XLOOKUP(Term3_Early_Dismissal_3[[#This Row],[Activity]],Types_of_Activity[Type of Activity],Types_of_Activity[Classification])=1,Term3_Early_Dismissal_3[[#This Row],[Elapsed]],0))</f>
        <v/>
      </c>
      <c r="U76" s="105" t="str">
        <f>IF(ISBLANK(Term3_Early_Dismissal_3[[#This Row],[Activity]]),"",IF(_xlfn.XLOOKUP(Term3_Early_Dismissal_3[[#This Row],[Activity]],Types_of_Activity[Type of Activity],Types_of_Activity[Classification])=2,Term3_Early_Dismissal_3[[#This Row],[Elapsed]],0))</f>
        <v/>
      </c>
      <c r="W76" s="135"/>
      <c r="X76" s="135"/>
      <c r="Y76" s="102"/>
      <c r="Z76" s="105" t="str">
        <f>IF(OR(ISBLANK(Term3_Early_Dismissal_4[[#This Row],[Start]]),ISBLANK(Term3_Early_Dismissal_4[[#This Row],[End]])),"",(Term3_Early_Dismissal_4[[#This Row],[End]]-Term3_Early_Dismissal_4[[#This Row],[Start]])*1440)</f>
        <v/>
      </c>
      <c r="AA76" s="105" t="str">
        <f>IF(ISBLANK(Term3_Early_Dismissal_4[[#This Row],[Activity]]),"",IF(_xlfn.XLOOKUP(Term3_Early_Dismissal_4[[#This Row],[Activity]],Types_of_Activity[Type of Activity],Types_of_Activity[Classification])=1,Term3_Early_Dismissal_4[[#This Row],[Elapsed]],0))</f>
        <v/>
      </c>
      <c r="AB76" s="105" t="str">
        <f>IF(ISBLANK(Term3_Early_Dismissal_4[[#This Row],[Activity]]),"",IF(_xlfn.XLOOKUP(Term3_Early_Dismissal_4[[#This Row],[Activity]],Types_of_Activity[Type of Activity],Types_of_Activity[Classification])=2,Term3_Early_Dismissal_4[[#This Row],[Elapsed]],0))</f>
        <v/>
      </c>
      <c r="AD76" s="135"/>
      <c r="AE76" s="135"/>
      <c r="AF76" s="102"/>
      <c r="AG76" s="105" t="str">
        <f>IF(OR(ISBLANK(Term3_Early_Dismissal_5[[#This Row],[Start]]),ISBLANK(Term3_Early_Dismissal_5[[#This Row],[End]])),"",(Term3_Early_Dismissal_5[[#This Row],[End]]-Term3_Early_Dismissal_5[[#This Row],[Start]])*1440)</f>
        <v/>
      </c>
      <c r="AH76" s="105" t="str">
        <f>IF(ISBLANK(Term3_Early_Dismissal_5[[#This Row],[Activity]]),"",IF(_xlfn.XLOOKUP(Term3_Early_Dismissal_5[[#This Row],[Activity]],Types_of_Activity[Type of Activity],Types_of_Activity[Classification])=1,Term3_Early_Dismissal_5[[#This Row],[Elapsed]],0))</f>
        <v/>
      </c>
      <c r="AI76" s="105" t="str">
        <f>IF(ISBLANK(Term3_Early_Dismissal_5[[#This Row],[Activity]]),"",IF(_xlfn.XLOOKUP(Term3_Early_Dismissal_5[[#This Row],[Activity]],Types_of_Activity[Type of Activity],Types_of_Activity[Classification])=2,Term3_Early_Dismissal_5[[#This Row],[Elapsed]],0))</f>
        <v/>
      </c>
      <c r="AK76" s="135"/>
      <c r="AL76" s="135"/>
      <c r="AM76" s="102"/>
      <c r="AN76" s="105" t="str">
        <f>IF(OR(ISBLANK(Term3_Early_Dismissal_6[[#This Row],[Start]]),ISBLANK(Term3_Early_Dismissal_6[[#This Row],[End]])),"",(Term3_Early_Dismissal_6[[#This Row],[End]]-Term3_Early_Dismissal_6[[#This Row],[Start]])*1440)</f>
        <v/>
      </c>
      <c r="AO76" s="105" t="str">
        <f>IF(ISBLANK(Term3_Early_Dismissal_6[[#This Row],[Activity]]),"",IF(_xlfn.XLOOKUP(Term3_Early_Dismissal_6[[#This Row],[Activity]],Types_of_Activity[Type of Activity],Types_of_Activity[Classification])=1,Term3_Early_Dismissal_6[[#This Row],[Elapsed]],0))</f>
        <v/>
      </c>
      <c r="AP76" s="105" t="str">
        <f>IF(ISBLANK(Term3_Early_Dismissal_6[[#This Row],[Activity]]),"",IF(_xlfn.XLOOKUP(Term3_Early_Dismissal_6[[#This Row],[Activity]],Types_of_Activity[Type of Activity],Types_of_Activity[Classification])=2,Term3_Early_Dismissal_6[[#This Row],[Elapsed]],0))</f>
        <v/>
      </c>
    </row>
    <row r="77" spans="2:42" x14ac:dyDescent="0.3">
      <c r="B77" s="135"/>
      <c r="C77" s="135"/>
      <c r="D77" s="102"/>
      <c r="E77" s="105" t="str">
        <f>IF(OR(ISBLANK(Term3_Early_Dismissal_1[[#This Row],[Start]]),ISBLANK(Term3_Early_Dismissal_1[[#This Row],[End]])),"",(Term3_Early_Dismissal_1[[#This Row],[End]]-Term3_Early_Dismissal_1[[#This Row],[Start]])*1440)</f>
        <v/>
      </c>
      <c r="F77" s="105" t="str">
        <f>IF(ISBLANK(Term3_Early_Dismissal_1[[#This Row],[Activity]]),"",IF(_xlfn.XLOOKUP(Term3_Early_Dismissal_1[[#This Row],[Activity]],Types_of_Activity[Type of Activity],Types_of_Activity[Classification])=1,Term3_Early_Dismissal_1[[#This Row],[Elapsed]],0))</f>
        <v/>
      </c>
      <c r="G77" s="105" t="str">
        <f>IF(ISBLANK(Term3_Early_Dismissal_1[[#This Row],[Activity]]),"",IF(_xlfn.XLOOKUP(Term3_Early_Dismissal_1[[#This Row],[Activity]],Types_of_Activity[Type of Activity],Types_of_Activity[Classification])=2,Term3_Early_Dismissal_1[[#This Row],[Elapsed]],0))</f>
        <v/>
      </c>
      <c r="H77"/>
      <c r="I77" s="135"/>
      <c r="J77" s="135"/>
      <c r="K77" s="102"/>
      <c r="L77" s="105" t="str">
        <f>IF(OR(ISBLANK(Term3_Early_Dismissal_2[[#This Row],[Start]]),ISBLANK(Term3_Early_Dismissal_2[[#This Row],[End]])),"",(Term3_Early_Dismissal_2[[#This Row],[End]]-Term3_Early_Dismissal_2[[#This Row],[Start]])*1440)</f>
        <v/>
      </c>
      <c r="M77" s="105" t="str">
        <f>IF(ISBLANK(Term3_Early_Dismissal_2[[#This Row],[Activity]]),"",IF(_xlfn.XLOOKUP(Term3_Early_Dismissal_2[[#This Row],[Activity]],Types_of_Activity[Type of Activity],Types_of_Activity[Classification])=1,Term3_Early_Dismissal_2[[#This Row],[Elapsed]],0))</f>
        <v/>
      </c>
      <c r="N77" s="105" t="str">
        <f>IF(ISBLANK(Term3_Early_Dismissal_2[[#This Row],[Activity]]),"",IF(_xlfn.XLOOKUP(Term3_Early_Dismissal_2[[#This Row],[Activity]],Types_of_Activity[Type of Activity],Types_of_Activity[Classification])=2,Term3_Early_Dismissal_2[[#This Row],[Elapsed]],0))</f>
        <v/>
      </c>
      <c r="O77"/>
      <c r="P77" s="135"/>
      <c r="Q77" s="135"/>
      <c r="R77" s="102"/>
      <c r="S77" s="105" t="str">
        <f>IF(OR(ISBLANK(Term3_Early_Dismissal_3[[#This Row],[Start]]),ISBLANK(Term3_Early_Dismissal_3[[#This Row],[End]])),"",(Term3_Early_Dismissal_3[[#This Row],[End]]-Term3_Early_Dismissal_3[[#This Row],[Start]])*1440)</f>
        <v/>
      </c>
      <c r="T77" s="105" t="str">
        <f>IF(ISBLANK(Term3_Early_Dismissal_3[[#This Row],[Activity]]),"",IF(_xlfn.XLOOKUP(Term3_Early_Dismissal_3[[#This Row],[Activity]],Types_of_Activity[Type of Activity],Types_of_Activity[Classification])=1,Term3_Early_Dismissal_3[[#This Row],[Elapsed]],0))</f>
        <v/>
      </c>
      <c r="U77" s="105" t="str">
        <f>IF(ISBLANK(Term3_Early_Dismissal_3[[#This Row],[Activity]]),"",IF(_xlfn.XLOOKUP(Term3_Early_Dismissal_3[[#This Row],[Activity]],Types_of_Activity[Type of Activity],Types_of_Activity[Classification])=2,Term3_Early_Dismissal_3[[#This Row],[Elapsed]],0))</f>
        <v/>
      </c>
      <c r="W77" s="135"/>
      <c r="X77" s="135"/>
      <c r="Y77" s="102"/>
      <c r="Z77" s="105" t="str">
        <f>IF(OR(ISBLANK(Term3_Early_Dismissal_4[[#This Row],[Start]]),ISBLANK(Term3_Early_Dismissal_4[[#This Row],[End]])),"",(Term3_Early_Dismissal_4[[#This Row],[End]]-Term3_Early_Dismissal_4[[#This Row],[Start]])*1440)</f>
        <v/>
      </c>
      <c r="AA77" s="105" t="str">
        <f>IF(ISBLANK(Term3_Early_Dismissal_4[[#This Row],[Activity]]),"",IF(_xlfn.XLOOKUP(Term3_Early_Dismissal_4[[#This Row],[Activity]],Types_of_Activity[Type of Activity],Types_of_Activity[Classification])=1,Term3_Early_Dismissal_4[[#This Row],[Elapsed]],0))</f>
        <v/>
      </c>
      <c r="AB77" s="105" t="str">
        <f>IF(ISBLANK(Term3_Early_Dismissal_4[[#This Row],[Activity]]),"",IF(_xlfn.XLOOKUP(Term3_Early_Dismissal_4[[#This Row],[Activity]],Types_of_Activity[Type of Activity],Types_of_Activity[Classification])=2,Term3_Early_Dismissal_4[[#This Row],[Elapsed]],0))</f>
        <v/>
      </c>
      <c r="AD77" s="135"/>
      <c r="AE77" s="135"/>
      <c r="AF77" s="102"/>
      <c r="AG77" s="105" t="str">
        <f>IF(OR(ISBLANK(Term3_Early_Dismissal_5[[#This Row],[Start]]),ISBLANK(Term3_Early_Dismissal_5[[#This Row],[End]])),"",(Term3_Early_Dismissal_5[[#This Row],[End]]-Term3_Early_Dismissal_5[[#This Row],[Start]])*1440)</f>
        <v/>
      </c>
      <c r="AH77" s="105" t="str">
        <f>IF(ISBLANK(Term3_Early_Dismissal_5[[#This Row],[Activity]]),"",IF(_xlfn.XLOOKUP(Term3_Early_Dismissal_5[[#This Row],[Activity]],Types_of_Activity[Type of Activity],Types_of_Activity[Classification])=1,Term3_Early_Dismissal_5[[#This Row],[Elapsed]],0))</f>
        <v/>
      </c>
      <c r="AI77" s="105" t="str">
        <f>IF(ISBLANK(Term3_Early_Dismissal_5[[#This Row],[Activity]]),"",IF(_xlfn.XLOOKUP(Term3_Early_Dismissal_5[[#This Row],[Activity]],Types_of_Activity[Type of Activity],Types_of_Activity[Classification])=2,Term3_Early_Dismissal_5[[#This Row],[Elapsed]],0))</f>
        <v/>
      </c>
      <c r="AK77" s="135"/>
      <c r="AL77" s="135"/>
      <c r="AM77" s="102"/>
      <c r="AN77" s="105" t="str">
        <f>IF(OR(ISBLANK(Term3_Early_Dismissal_6[[#This Row],[Start]]),ISBLANK(Term3_Early_Dismissal_6[[#This Row],[End]])),"",(Term3_Early_Dismissal_6[[#This Row],[End]]-Term3_Early_Dismissal_6[[#This Row],[Start]])*1440)</f>
        <v/>
      </c>
      <c r="AO77" s="105" t="str">
        <f>IF(ISBLANK(Term3_Early_Dismissal_6[[#This Row],[Activity]]),"",IF(_xlfn.XLOOKUP(Term3_Early_Dismissal_6[[#This Row],[Activity]],Types_of_Activity[Type of Activity],Types_of_Activity[Classification])=1,Term3_Early_Dismissal_6[[#This Row],[Elapsed]],0))</f>
        <v/>
      </c>
      <c r="AP77" s="105" t="str">
        <f>IF(ISBLANK(Term3_Early_Dismissal_6[[#This Row],[Activity]]),"",IF(_xlfn.XLOOKUP(Term3_Early_Dismissal_6[[#This Row],[Activity]],Types_of_Activity[Type of Activity],Types_of_Activity[Classification])=2,Term3_Early_Dismissal_6[[#This Row],[Elapsed]],0))</f>
        <v/>
      </c>
    </row>
    <row r="78" spans="2:42" x14ac:dyDescent="0.3">
      <c r="B78" s="135"/>
      <c r="C78" s="135"/>
      <c r="D78" s="102"/>
      <c r="E78" s="105" t="str">
        <f>IF(OR(ISBLANK(Term3_Early_Dismissal_1[[#This Row],[Start]]),ISBLANK(Term3_Early_Dismissal_1[[#This Row],[End]])),"",(Term3_Early_Dismissal_1[[#This Row],[End]]-Term3_Early_Dismissal_1[[#This Row],[Start]])*1440)</f>
        <v/>
      </c>
      <c r="F78" s="105" t="str">
        <f>IF(ISBLANK(Term3_Early_Dismissal_1[[#This Row],[Activity]]),"",IF(_xlfn.XLOOKUP(Term3_Early_Dismissal_1[[#This Row],[Activity]],Types_of_Activity[Type of Activity],Types_of_Activity[Classification])=1,Term3_Early_Dismissal_1[[#This Row],[Elapsed]],0))</f>
        <v/>
      </c>
      <c r="G78" s="105" t="str">
        <f>IF(ISBLANK(Term3_Early_Dismissal_1[[#This Row],[Activity]]),"",IF(_xlfn.XLOOKUP(Term3_Early_Dismissal_1[[#This Row],[Activity]],Types_of_Activity[Type of Activity],Types_of_Activity[Classification])=2,Term3_Early_Dismissal_1[[#This Row],[Elapsed]],0))</f>
        <v/>
      </c>
      <c r="H78"/>
      <c r="I78" s="135"/>
      <c r="J78" s="135"/>
      <c r="K78" s="102"/>
      <c r="L78" s="105" t="str">
        <f>IF(OR(ISBLANK(Term3_Early_Dismissal_2[[#This Row],[Start]]),ISBLANK(Term3_Early_Dismissal_2[[#This Row],[End]])),"",(Term3_Early_Dismissal_2[[#This Row],[End]]-Term3_Early_Dismissal_2[[#This Row],[Start]])*1440)</f>
        <v/>
      </c>
      <c r="M78" s="105" t="str">
        <f>IF(ISBLANK(Term3_Early_Dismissal_2[[#This Row],[Activity]]),"",IF(_xlfn.XLOOKUP(Term3_Early_Dismissal_2[[#This Row],[Activity]],Types_of_Activity[Type of Activity],Types_of_Activity[Classification])=1,Term3_Early_Dismissal_2[[#This Row],[Elapsed]],0))</f>
        <v/>
      </c>
      <c r="N78" s="105" t="str">
        <f>IF(ISBLANK(Term3_Early_Dismissal_2[[#This Row],[Activity]]),"",IF(_xlfn.XLOOKUP(Term3_Early_Dismissal_2[[#This Row],[Activity]],Types_of_Activity[Type of Activity],Types_of_Activity[Classification])=2,Term3_Early_Dismissal_2[[#This Row],[Elapsed]],0))</f>
        <v/>
      </c>
      <c r="O78"/>
      <c r="P78" s="135"/>
      <c r="Q78" s="135"/>
      <c r="R78" s="102"/>
      <c r="S78" s="105" t="str">
        <f>IF(OR(ISBLANK(Term3_Early_Dismissal_3[[#This Row],[Start]]),ISBLANK(Term3_Early_Dismissal_3[[#This Row],[End]])),"",(Term3_Early_Dismissal_3[[#This Row],[End]]-Term3_Early_Dismissal_3[[#This Row],[Start]])*1440)</f>
        <v/>
      </c>
      <c r="T78" s="105" t="str">
        <f>IF(ISBLANK(Term3_Early_Dismissal_3[[#This Row],[Activity]]),"",IF(_xlfn.XLOOKUP(Term3_Early_Dismissal_3[[#This Row],[Activity]],Types_of_Activity[Type of Activity],Types_of_Activity[Classification])=1,Term3_Early_Dismissal_3[[#This Row],[Elapsed]],0))</f>
        <v/>
      </c>
      <c r="U78" s="105" t="str">
        <f>IF(ISBLANK(Term3_Early_Dismissal_3[[#This Row],[Activity]]),"",IF(_xlfn.XLOOKUP(Term3_Early_Dismissal_3[[#This Row],[Activity]],Types_of_Activity[Type of Activity],Types_of_Activity[Classification])=2,Term3_Early_Dismissal_3[[#This Row],[Elapsed]],0))</f>
        <v/>
      </c>
      <c r="W78" s="135"/>
      <c r="X78" s="135"/>
      <c r="Y78" s="102"/>
      <c r="Z78" s="105" t="str">
        <f>IF(OR(ISBLANK(Term3_Early_Dismissal_4[[#This Row],[Start]]),ISBLANK(Term3_Early_Dismissal_4[[#This Row],[End]])),"",(Term3_Early_Dismissal_4[[#This Row],[End]]-Term3_Early_Dismissal_4[[#This Row],[Start]])*1440)</f>
        <v/>
      </c>
      <c r="AA78" s="105" t="str">
        <f>IF(ISBLANK(Term3_Early_Dismissal_4[[#This Row],[Activity]]),"",IF(_xlfn.XLOOKUP(Term3_Early_Dismissal_4[[#This Row],[Activity]],Types_of_Activity[Type of Activity],Types_of_Activity[Classification])=1,Term3_Early_Dismissal_4[[#This Row],[Elapsed]],0))</f>
        <v/>
      </c>
      <c r="AB78" s="105" t="str">
        <f>IF(ISBLANK(Term3_Early_Dismissal_4[[#This Row],[Activity]]),"",IF(_xlfn.XLOOKUP(Term3_Early_Dismissal_4[[#This Row],[Activity]],Types_of_Activity[Type of Activity],Types_of_Activity[Classification])=2,Term3_Early_Dismissal_4[[#This Row],[Elapsed]],0))</f>
        <v/>
      </c>
      <c r="AD78" s="135"/>
      <c r="AE78" s="135"/>
      <c r="AF78" s="102"/>
      <c r="AG78" s="105" t="str">
        <f>IF(OR(ISBLANK(Term3_Early_Dismissal_5[[#This Row],[Start]]),ISBLANK(Term3_Early_Dismissal_5[[#This Row],[End]])),"",(Term3_Early_Dismissal_5[[#This Row],[End]]-Term3_Early_Dismissal_5[[#This Row],[Start]])*1440)</f>
        <v/>
      </c>
      <c r="AH78" s="105" t="str">
        <f>IF(ISBLANK(Term3_Early_Dismissal_5[[#This Row],[Activity]]),"",IF(_xlfn.XLOOKUP(Term3_Early_Dismissal_5[[#This Row],[Activity]],Types_of_Activity[Type of Activity],Types_of_Activity[Classification])=1,Term3_Early_Dismissal_5[[#This Row],[Elapsed]],0))</f>
        <v/>
      </c>
      <c r="AI78" s="105" t="str">
        <f>IF(ISBLANK(Term3_Early_Dismissal_5[[#This Row],[Activity]]),"",IF(_xlfn.XLOOKUP(Term3_Early_Dismissal_5[[#This Row],[Activity]],Types_of_Activity[Type of Activity],Types_of_Activity[Classification])=2,Term3_Early_Dismissal_5[[#This Row],[Elapsed]],0))</f>
        <v/>
      </c>
      <c r="AK78" s="135"/>
      <c r="AL78" s="135"/>
      <c r="AM78" s="102"/>
      <c r="AN78" s="105" t="str">
        <f>IF(OR(ISBLANK(Term3_Early_Dismissal_6[[#This Row],[Start]]),ISBLANK(Term3_Early_Dismissal_6[[#This Row],[End]])),"",(Term3_Early_Dismissal_6[[#This Row],[End]]-Term3_Early_Dismissal_6[[#This Row],[Start]])*1440)</f>
        <v/>
      </c>
      <c r="AO78" s="105" t="str">
        <f>IF(ISBLANK(Term3_Early_Dismissal_6[[#This Row],[Activity]]),"",IF(_xlfn.XLOOKUP(Term3_Early_Dismissal_6[[#This Row],[Activity]],Types_of_Activity[Type of Activity],Types_of_Activity[Classification])=1,Term3_Early_Dismissal_6[[#This Row],[Elapsed]],0))</f>
        <v/>
      </c>
      <c r="AP78" s="105" t="str">
        <f>IF(ISBLANK(Term3_Early_Dismissal_6[[#This Row],[Activity]]),"",IF(_xlfn.XLOOKUP(Term3_Early_Dismissal_6[[#This Row],[Activity]],Types_of_Activity[Type of Activity],Types_of_Activity[Classification])=2,Term3_Early_Dismissal_6[[#This Row],[Elapsed]],0))</f>
        <v/>
      </c>
    </row>
    <row r="79" spans="2:42" x14ac:dyDescent="0.3">
      <c r="B79" s="135"/>
      <c r="C79" s="135"/>
      <c r="D79" s="102"/>
      <c r="E79" s="105" t="str">
        <f>IF(OR(ISBLANK(Term3_Early_Dismissal_1[[#This Row],[Start]]),ISBLANK(Term3_Early_Dismissal_1[[#This Row],[End]])),"",(Term3_Early_Dismissal_1[[#This Row],[End]]-Term3_Early_Dismissal_1[[#This Row],[Start]])*1440)</f>
        <v/>
      </c>
      <c r="F79" s="105" t="str">
        <f>IF(ISBLANK(Term3_Early_Dismissal_1[[#This Row],[Activity]]),"",IF(_xlfn.XLOOKUP(Term3_Early_Dismissal_1[[#This Row],[Activity]],Types_of_Activity[Type of Activity],Types_of_Activity[Classification])=1,Term3_Early_Dismissal_1[[#This Row],[Elapsed]],0))</f>
        <v/>
      </c>
      <c r="G79" s="105" t="str">
        <f>IF(ISBLANK(Term3_Early_Dismissal_1[[#This Row],[Activity]]),"",IF(_xlfn.XLOOKUP(Term3_Early_Dismissal_1[[#This Row],[Activity]],Types_of_Activity[Type of Activity],Types_of_Activity[Classification])=2,Term3_Early_Dismissal_1[[#This Row],[Elapsed]],0))</f>
        <v/>
      </c>
      <c r="H79"/>
      <c r="I79" s="135"/>
      <c r="J79" s="135"/>
      <c r="K79" s="102"/>
      <c r="L79" s="105" t="str">
        <f>IF(OR(ISBLANK(Term3_Early_Dismissal_2[[#This Row],[Start]]),ISBLANK(Term3_Early_Dismissal_2[[#This Row],[End]])),"",(Term3_Early_Dismissal_2[[#This Row],[End]]-Term3_Early_Dismissal_2[[#This Row],[Start]])*1440)</f>
        <v/>
      </c>
      <c r="M79" s="105" t="str">
        <f>IF(ISBLANK(Term3_Early_Dismissal_2[[#This Row],[Activity]]),"",IF(_xlfn.XLOOKUP(Term3_Early_Dismissal_2[[#This Row],[Activity]],Types_of_Activity[Type of Activity],Types_of_Activity[Classification])=1,Term3_Early_Dismissal_2[[#This Row],[Elapsed]],0))</f>
        <v/>
      </c>
      <c r="N79" s="105" t="str">
        <f>IF(ISBLANK(Term3_Early_Dismissal_2[[#This Row],[Activity]]),"",IF(_xlfn.XLOOKUP(Term3_Early_Dismissal_2[[#This Row],[Activity]],Types_of_Activity[Type of Activity],Types_of_Activity[Classification])=2,Term3_Early_Dismissal_2[[#This Row],[Elapsed]],0))</f>
        <v/>
      </c>
      <c r="O79"/>
      <c r="P79" s="135"/>
      <c r="Q79" s="135"/>
      <c r="R79" s="102"/>
      <c r="S79" s="105" t="str">
        <f>IF(OR(ISBLANK(Term3_Early_Dismissal_3[[#This Row],[Start]]),ISBLANK(Term3_Early_Dismissal_3[[#This Row],[End]])),"",(Term3_Early_Dismissal_3[[#This Row],[End]]-Term3_Early_Dismissal_3[[#This Row],[Start]])*1440)</f>
        <v/>
      </c>
      <c r="T79" s="105" t="str">
        <f>IF(ISBLANK(Term3_Early_Dismissal_3[[#This Row],[Activity]]),"",IF(_xlfn.XLOOKUP(Term3_Early_Dismissal_3[[#This Row],[Activity]],Types_of_Activity[Type of Activity],Types_of_Activity[Classification])=1,Term3_Early_Dismissal_3[[#This Row],[Elapsed]],0))</f>
        <v/>
      </c>
      <c r="U79" s="105" t="str">
        <f>IF(ISBLANK(Term3_Early_Dismissal_3[[#This Row],[Activity]]),"",IF(_xlfn.XLOOKUP(Term3_Early_Dismissal_3[[#This Row],[Activity]],Types_of_Activity[Type of Activity],Types_of_Activity[Classification])=2,Term3_Early_Dismissal_3[[#This Row],[Elapsed]],0))</f>
        <v/>
      </c>
      <c r="W79" s="135"/>
      <c r="X79" s="135"/>
      <c r="Y79" s="102"/>
      <c r="Z79" s="105" t="str">
        <f>IF(OR(ISBLANK(Term3_Early_Dismissal_4[[#This Row],[Start]]),ISBLANK(Term3_Early_Dismissal_4[[#This Row],[End]])),"",(Term3_Early_Dismissal_4[[#This Row],[End]]-Term3_Early_Dismissal_4[[#This Row],[Start]])*1440)</f>
        <v/>
      </c>
      <c r="AA79" s="105" t="str">
        <f>IF(ISBLANK(Term3_Early_Dismissal_4[[#This Row],[Activity]]),"",IF(_xlfn.XLOOKUP(Term3_Early_Dismissal_4[[#This Row],[Activity]],Types_of_Activity[Type of Activity],Types_of_Activity[Classification])=1,Term3_Early_Dismissal_4[[#This Row],[Elapsed]],0))</f>
        <v/>
      </c>
      <c r="AB79" s="105" t="str">
        <f>IF(ISBLANK(Term3_Early_Dismissal_4[[#This Row],[Activity]]),"",IF(_xlfn.XLOOKUP(Term3_Early_Dismissal_4[[#This Row],[Activity]],Types_of_Activity[Type of Activity],Types_of_Activity[Classification])=2,Term3_Early_Dismissal_4[[#This Row],[Elapsed]],0))</f>
        <v/>
      </c>
      <c r="AD79" s="135"/>
      <c r="AE79" s="135"/>
      <c r="AF79" s="102"/>
      <c r="AG79" s="105" t="str">
        <f>IF(OR(ISBLANK(Term3_Early_Dismissal_5[[#This Row],[Start]]),ISBLANK(Term3_Early_Dismissal_5[[#This Row],[End]])),"",(Term3_Early_Dismissal_5[[#This Row],[End]]-Term3_Early_Dismissal_5[[#This Row],[Start]])*1440)</f>
        <v/>
      </c>
      <c r="AH79" s="105" t="str">
        <f>IF(ISBLANK(Term3_Early_Dismissal_5[[#This Row],[Activity]]),"",IF(_xlfn.XLOOKUP(Term3_Early_Dismissal_5[[#This Row],[Activity]],Types_of_Activity[Type of Activity],Types_of_Activity[Classification])=1,Term3_Early_Dismissal_5[[#This Row],[Elapsed]],0))</f>
        <v/>
      </c>
      <c r="AI79" s="105" t="str">
        <f>IF(ISBLANK(Term3_Early_Dismissal_5[[#This Row],[Activity]]),"",IF(_xlfn.XLOOKUP(Term3_Early_Dismissal_5[[#This Row],[Activity]],Types_of_Activity[Type of Activity],Types_of_Activity[Classification])=2,Term3_Early_Dismissal_5[[#This Row],[Elapsed]],0))</f>
        <v/>
      </c>
      <c r="AK79" s="135"/>
      <c r="AL79" s="135"/>
      <c r="AM79" s="102"/>
      <c r="AN79" s="105" t="str">
        <f>IF(OR(ISBLANK(Term3_Early_Dismissal_6[[#This Row],[Start]]),ISBLANK(Term3_Early_Dismissal_6[[#This Row],[End]])),"",(Term3_Early_Dismissal_6[[#This Row],[End]]-Term3_Early_Dismissal_6[[#This Row],[Start]])*1440)</f>
        <v/>
      </c>
      <c r="AO79" s="105" t="str">
        <f>IF(ISBLANK(Term3_Early_Dismissal_6[[#This Row],[Activity]]),"",IF(_xlfn.XLOOKUP(Term3_Early_Dismissal_6[[#This Row],[Activity]],Types_of_Activity[Type of Activity],Types_of_Activity[Classification])=1,Term3_Early_Dismissal_6[[#This Row],[Elapsed]],0))</f>
        <v/>
      </c>
      <c r="AP79" s="105" t="str">
        <f>IF(ISBLANK(Term3_Early_Dismissal_6[[#This Row],[Activity]]),"",IF(_xlfn.XLOOKUP(Term3_Early_Dismissal_6[[#This Row],[Activity]],Types_of_Activity[Type of Activity],Types_of_Activity[Classification])=2,Term3_Early_Dismissal_6[[#This Row],[Elapsed]],0))</f>
        <v/>
      </c>
    </row>
    <row r="80" spans="2:42" x14ac:dyDescent="0.3">
      <c r="B80" s="135"/>
      <c r="C80" s="135"/>
      <c r="D80" s="102"/>
      <c r="E80" s="105" t="str">
        <f>IF(OR(ISBLANK(Term3_Early_Dismissal_1[[#This Row],[Start]]),ISBLANK(Term3_Early_Dismissal_1[[#This Row],[End]])),"",(Term3_Early_Dismissal_1[[#This Row],[End]]-Term3_Early_Dismissal_1[[#This Row],[Start]])*1440)</f>
        <v/>
      </c>
      <c r="F80" s="105" t="str">
        <f>IF(ISBLANK(Term3_Early_Dismissal_1[[#This Row],[Activity]]),"",IF(_xlfn.XLOOKUP(Term3_Early_Dismissal_1[[#This Row],[Activity]],Types_of_Activity[Type of Activity],Types_of_Activity[Classification])=1,Term3_Early_Dismissal_1[[#This Row],[Elapsed]],0))</f>
        <v/>
      </c>
      <c r="G80" s="105" t="str">
        <f>IF(ISBLANK(Term3_Early_Dismissal_1[[#This Row],[Activity]]),"",IF(_xlfn.XLOOKUP(Term3_Early_Dismissal_1[[#This Row],[Activity]],Types_of_Activity[Type of Activity],Types_of_Activity[Classification])=2,Term3_Early_Dismissal_1[[#This Row],[Elapsed]],0))</f>
        <v/>
      </c>
      <c r="H80"/>
      <c r="I80" s="135"/>
      <c r="J80" s="135"/>
      <c r="K80" s="102"/>
      <c r="L80" s="105" t="str">
        <f>IF(OR(ISBLANK(Term3_Early_Dismissal_2[[#This Row],[Start]]),ISBLANK(Term3_Early_Dismissal_2[[#This Row],[End]])),"",(Term3_Early_Dismissal_2[[#This Row],[End]]-Term3_Early_Dismissal_2[[#This Row],[Start]])*1440)</f>
        <v/>
      </c>
      <c r="M80" s="105" t="str">
        <f>IF(ISBLANK(Term3_Early_Dismissal_2[[#This Row],[Activity]]),"",IF(_xlfn.XLOOKUP(Term3_Early_Dismissal_2[[#This Row],[Activity]],Types_of_Activity[Type of Activity],Types_of_Activity[Classification])=1,Term3_Early_Dismissal_2[[#This Row],[Elapsed]],0))</f>
        <v/>
      </c>
      <c r="N80" s="105" t="str">
        <f>IF(ISBLANK(Term3_Early_Dismissal_2[[#This Row],[Activity]]),"",IF(_xlfn.XLOOKUP(Term3_Early_Dismissal_2[[#This Row],[Activity]],Types_of_Activity[Type of Activity],Types_of_Activity[Classification])=2,Term3_Early_Dismissal_2[[#This Row],[Elapsed]],0))</f>
        <v/>
      </c>
      <c r="O80"/>
      <c r="P80" s="135"/>
      <c r="Q80" s="135"/>
      <c r="R80" s="102"/>
      <c r="S80" s="105" t="str">
        <f>IF(OR(ISBLANK(Term3_Early_Dismissal_3[[#This Row],[Start]]),ISBLANK(Term3_Early_Dismissal_3[[#This Row],[End]])),"",(Term3_Early_Dismissal_3[[#This Row],[End]]-Term3_Early_Dismissal_3[[#This Row],[Start]])*1440)</f>
        <v/>
      </c>
      <c r="T80" s="105" t="str">
        <f>IF(ISBLANK(Term3_Early_Dismissal_3[[#This Row],[Activity]]),"",IF(_xlfn.XLOOKUP(Term3_Early_Dismissal_3[[#This Row],[Activity]],Types_of_Activity[Type of Activity],Types_of_Activity[Classification])=1,Term3_Early_Dismissal_3[[#This Row],[Elapsed]],0))</f>
        <v/>
      </c>
      <c r="U80" s="105" t="str">
        <f>IF(ISBLANK(Term3_Early_Dismissal_3[[#This Row],[Activity]]),"",IF(_xlfn.XLOOKUP(Term3_Early_Dismissal_3[[#This Row],[Activity]],Types_of_Activity[Type of Activity],Types_of_Activity[Classification])=2,Term3_Early_Dismissal_3[[#This Row],[Elapsed]],0))</f>
        <v/>
      </c>
      <c r="W80" s="135"/>
      <c r="X80" s="135"/>
      <c r="Y80" s="102"/>
      <c r="Z80" s="105" t="str">
        <f>IF(OR(ISBLANK(Term3_Early_Dismissal_4[[#This Row],[Start]]),ISBLANK(Term3_Early_Dismissal_4[[#This Row],[End]])),"",(Term3_Early_Dismissal_4[[#This Row],[End]]-Term3_Early_Dismissal_4[[#This Row],[Start]])*1440)</f>
        <v/>
      </c>
      <c r="AA80" s="105" t="str">
        <f>IF(ISBLANK(Term3_Early_Dismissal_4[[#This Row],[Activity]]),"",IF(_xlfn.XLOOKUP(Term3_Early_Dismissal_4[[#This Row],[Activity]],Types_of_Activity[Type of Activity],Types_of_Activity[Classification])=1,Term3_Early_Dismissal_4[[#This Row],[Elapsed]],0))</f>
        <v/>
      </c>
      <c r="AB80" s="105" t="str">
        <f>IF(ISBLANK(Term3_Early_Dismissal_4[[#This Row],[Activity]]),"",IF(_xlfn.XLOOKUP(Term3_Early_Dismissal_4[[#This Row],[Activity]],Types_of_Activity[Type of Activity],Types_of_Activity[Classification])=2,Term3_Early_Dismissal_4[[#This Row],[Elapsed]],0))</f>
        <v/>
      </c>
      <c r="AD80" s="135"/>
      <c r="AE80" s="135"/>
      <c r="AF80" s="102"/>
      <c r="AG80" s="105" t="str">
        <f>IF(OR(ISBLANK(Term3_Early_Dismissal_5[[#This Row],[Start]]),ISBLANK(Term3_Early_Dismissal_5[[#This Row],[End]])),"",(Term3_Early_Dismissal_5[[#This Row],[End]]-Term3_Early_Dismissal_5[[#This Row],[Start]])*1440)</f>
        <v/>
      </c>
      <c r="AH80" s="105" t="str">
        <f>IF(ISBLANK(Term3_Early_Dismissal_5[[#This Row],[Activity]]),"",IF(_xlfn.XLOOKUP(Term3_Early_Dismissal_5[[#This Row],[Activity]],Types_of_Activity[Type of Activity],Types_of_Activity[Classification])=1,Term3_Early_Dismissal_5[[#This Row],[Elapsed]],0))</f>
        <v/>
      </c>
      <c r="AI80" s="105" t="str">
        <f>IF(ISBLANK(Term3_Early_Dismissal_5[[#This Row],[Activity]]),"",IF(_xlfn.XLOOKUP(Term3_Early_Dismissal_5[[#This Row],[Activity]],Types_of_Activity[Type of Activity],Types_of_Activity[Classification])=2,Term3_Early_Dismissal_5[[#This Row],[Elapsed]],0))</f>
        <v/>
      </c>
      <c r="AK80" s="135"/>
      <c r="AL80" s="135"/>
      <c r="AM80" s="102"/>
      <c r="AN80" s="105" t="str">
        <f>IF(OR(ISBLANK(Term3_Early_Dismissal_6[[#This Row],[Start]]),ISBLANK(Term3_Early_Dismissal_6[[#This Row],[End]])),"",(Term3_Early_Dismissal_6[[#This Row],[End]]-Term3_Early_Dismissal_6[[#This Row],[Start]])*1440)</f>
        <v/>
      </c>
      <c r="AO80" s="105" t="str">
        <f>IF(ISBLANK(Term3_Early_Dismissal_6[[#This Row],[Activity]]),"",IF(_xlfn.XLOOKUP(Term3_Early_Dismissal_6[[#This Row],[Activity]],Types_of_Activity[Type of Activity],Types_of_Activity[Classification])=1,Term3_Early_Dismissal_6[[#This Row],[Elapsed]],0))</f>
        <v/>
      </c>
      <c r="AP80" s="105" t="str">
        <f>IF(ISBLANK(Term3_Early_Dismissal_6[[#This Row],[Activity]]),"",IF(_xlfn.XLOOKUP(Term3_Early_Dismissal_6[[#This Row],[Activity]],Types_of_Activity[Type of Activity],Types_of_Activity[Classification])=2,Term3_Early_Dismissal_6[[#This Row],[Elapsed]],0))</f>
        <v/>
      </c>
    </row>
    <row r="81" spans="2:42" x14ac:dyDescent="0.3">
      <c r="B81" s="135"/>
      <c r="C81" s="135"/>
      <c r="D81" s="102"/>
      <c r="E81" s="105" t="str">
        <f>IF(OR(ISBLANK(Term3_Early_Dismissal_1[[#This Row],[Start]]),ISBLANK(Term3_Early_Dismissal_1[[#This Row],[End]])),"",(Term3_Early_Dismissal_1[[#This Row],[End]]-Term3_Early_Dismissal_1[[#This Row],[Start]])*1440)</f>
        <v/>
      </c>
      <c r="F81" s="105" t="str">
        <f>IF(ISBLANK(Term3_Early_Dismissal_1[[#This Row],[Activity]]),"",IF(_xlfn.XLOOKUP(Term3_Early_Dismissal_1[[#This Row],[Activity]],Types_of_Activity[Type of Activity],Types_of_Activity[Classification])=1,Term3_Early_Dismissal_1[[#This Row],[Elapsed]],0))</f>
        <v/>
      </c>
      <c r="G81" s="105" t="str">
        <f>IF(ISBLANK(Term3_Early_Dismissal_1[[#This Row],[Activity]]),"",IF(_xlfn.XLOOKUP(Term3_Early_Dismissal_1[[#This Row],[Activity]],Types_of_Activity[Type of Activity],Types_of_Activity[Classification])=2,Term3_Early_Dismissal_1[[#This Row],[Elapsed]],0))</f>
        <v/>
      </c>
      <c r="H81"/>
      <c r="I81" s="135"/>
      <c r="J81" s="135"/>
      <c r="K81" s="102"/>
      <c r="L81" s="105" t="str">
        <f>IF(OR(ISBLANK(Term3_Early_Dismissal_2[[#This Row],[Start]]),ISBLANK(Term3_Early_Dismissal_2[[#This Row],[End]])),"",(Term3_Early_Dismissal_2[[#This Row],[End]]-Term3_Early_Dismissal_2[[#This Row],[Start]])*1440)</f>
        <v/>
      </c>
      <c r="M81" s="105" t="str">
        <f>IF(ISBLANK(Term3_Early_Dismissal_2[[#This Row],[Activity]]),"",IF(_xlfn.XLOOKUP(Term3_Early_Dismissal_2[[#This Row],[Activity]],Types_of_Activity[Type of Activity],Types_of_Activity[Classification])=1,Term3_Early_Dismissal_2[[#This Row],[Elapsed]],0))</f>
        <v/>
      </c>
      <c r="N81" s="105" t="str">
        <f>IF(ISBLANK(Term3_Early_Dismissal_2[[#This Row],[Activity]]),"",IF(_xlfn.XLOOKUP(Term3_Early_Dismissal_2[[#This Row],[Activity]],Types_of_Activity[Type of Activity],Types_of_Activity[Classification])=2,Term3_Early_Dismissal_2[[#This Row],[Elapsed]],0))</f>
        <v/>
      </c>
      <c r="O81"/>
      <c r="P81" s="135"/>
      <c r="Q81" s="135"/>
      <c r="R81" s="102"/>
      <c r="S81" s="105" t="str">
        <f>IF(OR(ISBLANK(Term3_Early_Dismissal_3[[#This Row],[Start]]),ISBLANK(Term3_Early_Dismissal_3[[#This Row],[End]])),"",(Term3_Early_Dismissal_3[[#This Row],[End]]-Term3_Early_Dismissal_3[[#This Row],[Start]])*1440)</f>
        <v/>
      </c>
      <c r="T81" s="105" t="str">
        <f>IF(ISBLANK(Term3_Early_Dismissal_3[[#This Row],[Activity]]),"",IF(_xlfn.XLOOKUP(Term3_Early_Dismissal_3[[#This Row],[Activity]],Types_of_Activity[Type of Activity],Types_of_Activity[Classification])=1,Term3_Early_Dismissal_3[[#This Row],[Elapsed]],0))</f>
        <v/>
      </c>
      <c r="U81" s="105" t="str">
        <f>IF(ISBLANK(Term3_Early_Dismissal_3[[#This Row],[Activity]]),"",IF(_xlfn.XLOOKUP(Term3_Early_Dismissal_3[[#This Row],[Activity]],Types_of_Activity[Type of Activity],Types_of_Activity[Classification])=2,Term3_Early_Dismissal_3[[#This Row],[Elapsed]],0))</f>
        <v/>
      </c>
      <c r="W81" s="135"/>
      <c r="X81" s="135"/>
      <c r="Y81" s="102"/>
      <c r="Z81" s="105" t="str">
        <f>IF(OR(ISBLANK(Term3_Early_Dismissal_4[[#This Row],[Start]]),ISBLANK(Term3_Early_Dismissal_4[[#This Row],[End]])),"",(Term3_Early_Dismissal_4[[#This Row],[End]]-Term3_Early_Dismissal_4[[#This Row],[Start]])*1440)</f>
        <v/>
      </c>
      <c r="AA81" s="105" t="str">
        <f>IF(ISBLANK(Term3_Early_Dismissal_4[[#This Row],[Activity]]),"",IF(_xlfn.XLOOKUP(Term3_Early_Dismissal_4[[#This Row],[Activity]],Types_of_Activity[Type of Activity],Types_of_Activity[Classification])=1,Term3_Early_Dismissal_4[[#This Row],[Elapsed]],0))</f>
        <v/>
      </c>
      <c r="AB81" s="105" t="str">
        <f>IF(ISBLANK(Term3_Early_Dismissal_4[[#This Row],[Activity]]),"",IF(_xlfn.XLOOKUP(Term3_Early_Dismissal_4[[#This Row],[Activity]],Types_of_Activity[Type of Activity],Types_of_Activity[Classification])=2,Term3_Early_Dismissal_4[[#This Row],[Elapsed]],0))</f>
        <v/>
      </c>
      <c r="AD81" s="135"/>
      <c r="AE81" s="135"/>
      <c r="AF81" s="102"/>
      <c r="AG81" s="105" t="str">
        <f>IF(OR(ISBLANK(Term3_Early_Dismissal_5[[#This Row],[Start]]),ISBLANK(Term3_Early_Dismissal_5[[#This Row],[End]])),"",(Term3_Early_Dismissal_5[[#This Row],[End]]-Term3_Early_Dismissal_5[[#This Row],[Start]])*1440)</f>
        <v/>
      </c>
      <c r="AH81" s="105" t="str">
        <f>IF(ISBLANK(Term3_Early_Dismissal_5[[#This Row],[Activity]]),"",IF(_xlfn.XLOOKUP(Term3_Early_Dismissal_5[[#This Row],[Activity]],Types_of_Activity[Type of Activity],Types_of_Activity[Classification])=1,Term3_Early_Dismissal_5[[#This Row],[Elapsed]],0))</f>
        <v/>
      </c>
      <c r="AI81" s="105" t="str">
        <f>IF(ISBLANK(Term3_Early_Dismissal_5[[#This Row],[Activity]]),"",IF(_xlfn.XLOOKUP(Term3_Early_Dismissal_5[[#This Row],[Activity]],Types_of_Activity[Type of Activity],Types_of_Activity[Classification])=2,Term3_Early_Dismissal_5[[#This Row],[Elapsed]],0))</f>
        <v/>
      </c>
      <c r="AK81" s="135"/>
      <c r="AL81" s="135"/>
      <c r="AM81" s="102"/>
      <c r="AN81" s="105" t="str">
        <f>IF(OR(ISBLANK(Term3_Early_Dismissal_6[[#This Row],[Start]]),ISBLANK(Term3_Early_Dismissal_6[[#This Row],[End]])),"",(Term3_Early_Dismissal_6[[#This Row],[End]]-Term3_Early_Dismissal_6[[#This Row],[Start]])*1440)</f>
        <v/>
      </c>
      <c r="AO81" s="105" t="str">
        <f>IF(ISBLANK(Term3_Early_Dismissal_6[[#This Row],[Activity]]),"",IF(_xlfn.XLOOKUP(Term3_Early_Dismissal_6[[#This Row],[Activity]],Types_of_Activity[Type of Activity],Types_of_Activity[Classification])=1,Term3_Early_Dismissal_6[[#This Row],[Elapsed]],0))</f>
        <v/>
      </c>
      <c r="AP81" s="105" t="str">
        <f>IF(ISBLANK(Term3_Early_Dismissal_6[[#This Row],[Activity]]),"",IF(_xlfn.XLOOKUP(Term3_Early_Dismissal_6[[#This Row],[Activity]],Types_of_Activity[Type of Activity],Types_of_Activity[Classification])=2,Term3_Early_Dismissal_6[[#This Row],[Elapsed]],0))</f>
        <v/>
      </c>
    </row>
    <row r="82" spans="2:42" x14ac:dyDescent="0.3">
      <c r="B82" s="135"/>
      <c r="C82" s="135"/>
      <c r="D82" s="102"/>
      <c r="E82" s="105" t="str">
        <f>IF(OR(ISBLANK(Term3_Early_Dismissal_1[[#This Row],[Start]]),ISBLANK(Term3_Early_Dismissal_1[[#This Row],[End]])),"",(Term3_Early_Dismissal_1[[#This Row],[End]]-Term3_Early_Dismissal_1[[#This Row],[Start]])*1440)</f>
        <v/>
      </c>
      <c r="F82" s="105" t="str">
        <f>IF(ISBLANK(Term3_Early_Dismissal_1[[#This Row],[Activity]]),"",IF(_xlfn.XLOOKUP(Term3_Early_Dismissal_1[[#This Row],[Activity]],Types_of_Activity[Type of Activity],Types_of_Activity[Classification])=1,Term3_Early_Dismissal_1[[#This Row],[Elapsed]],0))</f>
        <v/>
      </c>
      <c r="G82" s="105" t="str">
        <f>IF(ISBLANK(Term3_Early_Dismissal_1[[#This Row],[Activity]]),"",IF(_xlfn.XLOOKUP(Term3_Early_Dismissal_1[[#This Row],[Activity]],Types_of_Activity[Type of Activity],Types_of_Activity[Classification])=2,Term3_Early_Dismissal_1[[#This Row],[Elapsed]],0))</f>
        <v/>
      </c>
      <c r="H82"/>
      <c r="I82" s="135"/>
      <c r="J82" s="135"/>
      <c r="K82" s="102"/>
      <c r="L82" s="105" t="str">
        <f>IF(OR(ISBLANK(Term3_Early_Dismissal_2[[#This Row],[Start]]),ISBLANK(Term3_Early_Dismissal_2[[#This Row],[End]])),"",(Term3_Early_Dismissal_2[[#This Row],[End]]-Term3_Early_Dismissal_2[[#This Row],[Start]])*1440)</f>
        <v/>
      </c>
      <c r="M82" s="105" t="str">
        <f>IF(ISBLANK(Term3_Early_Dismissal_2[[#This Row],[Activity]]),"",IF(_xlfn.XLOOKUP(Term3_Early_Dismissal_2[[#This Row],[Activity]],Types_of_Activity[Type of Activity],Types_of_Activity[Classification])=1,Term3_Early_Dismissal_2[[#This Row],[Elapsed]],0))</f>
        <v/>
      </c>
      <c r="N82" s="105" t="str">
        <f>IF(ISBLANK(Term3_Early_Dismissal_2[[#This Row],[Activity]]),"",IF(_xlfn.XLOOKUP(Term3_Early_Dismissal_2[[#This Row],[Activity]],Types_of_Activity[Type of Activity],Types_of_Activity[Classification])=2,Term3_Early_Dismissal_2[[#This Row],[Elapsed]],0))</f>
        <v/>
      </c>
      <c r="O82"/>
      <c r="P82" s="135"/>
      <c r="Q82" s="135"/>
      <c r="R82" s="102"/>
      <c r="S82" s="105" t="str">
        <f>IF(OR(ISBLANK(Term3_Early_Dismissal_3[[#This Row],[Start]]),ISBLANK(Term3_Early_Dismissal_3[[#This Row],[End]])),"",(Term3_Early_Dismissal_3[[#This Row],[End]]-Term3_Early_Dismissal_3[[#This Row],[Start]])*1440)</f>
        <v/>
      </c>
      <c r="T82" s="105" t="str">
        <f>IF(ISBLANK(Term3_Early_Dismissal_3[[#This Row],[Activity]]),"",IF(_xlfn.XLOOKUP(Term3_Early_Dismissal_3[[#This Row],[Activity]],Types_of_Activity[Type of Activity],Types_of_Activity[Classification])=1,Term3_Early_Dismissal_3[[#This Row],[Elapsed]],0))</f>
        <v/>
      </c>
      <c r="U82" s="105" t="str">
        <f>IF(ISBLANK(Term3_Early_Dismissal_3[[#This Row],[Activity]]),"",IF(_xlfn.XLOOKUP(Term3_Early_Dismissal_3[[#This Row],[Activity]],Types_of_Activity[Type of Activity],Types_of_Activity[Classification])=2,Term3_Early_Dismissal_3[[#This Row],[Elapsed]],0))</f>
        <v/>
      </c>
      <c r="W82" s="135"/>
      <c r="X82" s="135"/>
      <c r="Y82" s="102"/>
      <c r="Z82" s="105" t="str">
        <f>IF(OR(ISBLANK(Term3_Early_Dismissal_4[[#This Row],[Start]]),ISBLANK(Term3_Early_Dismissal_4[[#This Row],[End]])),"",(Term3_Early_Dismissal_4[[#This Row],[End]]-Term3_Early_Dismissal_4[[#This Row],[Start]])*1440)</f>
        <v/>
      </c>
      <c r="AA82" s="105" t="str">
        <f>IF(ISBLANK(Term3_Early_Dismissal_4[[#This Row],[Activity]]),"",IF(_xlfn.XLOOKUP(Term3_Early_Dismissal_4[[#This Row],[Activity]],Types_of_Activity[Type of Activity],Types_of_Activity[Classification])=1,Term3_Early_Dismissal_4[[#This Row],[Elapsed]],0))</f>
        <v/>
      </c>
      <c r="AB82" s="105" t="str">
        <f>IF(ISBLANK(Term3_Early_Dismissal_4[[#This Row],[Activity]]),"",IF(_xlfn.XLOOKUP(Term3_Early_Dismissal_4[[#This Row],[Activity]],Types_of_Activity[Type of Activity],Types_of_Activity[Classification])=2,Term3_Early_Dismissal_4[[#This Row],[Elapsed]],0))</f>
        <v/>
      </c>
      <c r="AD82" s="135"/>
      <c r="AE82" s="135"/>
      <c r="AF82" s="102"/>
      <c r="AG82" s="105" t="str">
        <f>IF(OR(ISBLANK(Term3_Early_Dismissal_5[[#This Row],[Start]]),ISBLANK(Term3_Early_Dismissal_5[[#This Row],[End]])),"",(Term3_Early_Dismissal_5[[#This Row],[End]]-Term3_Early_Dismissal_5[[#This Row],[Start]])*1440)</f>
        <v/>
      </c>
      <c r="AH82" s="105" t="str">
        <f>IF(ISBLANK(Term3_Early_Dismissal_5[[#This Row],[Activity]]),"",IF(_xlfn.XLOOKUP(Term3_Early_Dismissal_5[[#This Row],[Activity]],Types_of_Activity[Type of Activity],Types_of_Activity[Classification])=1,Term3_Early_Dismissal_5[[#This Row],[Elapsed]],0))</f>
        <v/>
      </c>
      <c r="AI82" s="105" t="str">
        <f>IF(ISBLANK(Term3_Early_Dismissal_5[[#This Row],[Activity]]),"",IF(_xlfn.XLOOKUP(Term3_Early_Dismissal_5[[#This Row],[Activity]],Types_of_Activity[Type of Activity],Types_of_Activity[Classification])=2,Term3_Early_Dismissal_5[[#This Row],[Elapsed]],0))</f>
        <v/>
      </c>
      <c r="AK82" s="135"/>
      <c r="AL82" s="135"/>
      <c r="AM82" s="102"/>
      <c r="AN82" s="105" t="str">
        <f>IF(OR(ISBLANK(Term3_Early_Dismissal_6[[#This Row],[Start]]),ISBLANK(Term3_Early_Dismissal_6[[#This Row],[End]])),"",(Term3_Early_Dismissal_6[[#This Row],[End]]-Term3_Early_Dismissal_6[[#This Row],[Start]])*1440)</f>
        <v/>
      </c>
      <c r="AO82" s="105" t="str">
        <f>IF(ISBLANK(Term3_Early_Dismissal_6[[#This Row],[Activity]]),"",IF(_xlfn.XLOOKUP(Term3_Early_Dismissal_6[[#This Row],[Activity]],Types_of_Activity[Type of Activity],Types_of_Activity[Classification])=1,Term3_Early_Dismissal_6[[#This Row],[Elapsed]],0))</f>
        <v/>
      </c>
      <c r="AP82" s="105" t="str">
        <f>IF(ISBLANK(Term3_Early_Dismissal_6[[#This Row],[Activity]]),"",IF(_xlfn.XLOOKUP(Term3_Early_Dismissal_6[[#This Row],[Activity]],Types_of_Activity[Type of Activity],Types_of_Activity[Classification])=2,Term3_Early_Dismissal_6[[#This Row],[Elapsed]],0))</f>
        <v/>
      </c>
    </row>
    <row r="83" spans="2:42" x14ac:dyDescent="0.3">
      <c r="B83" s="135"/>
      <c r="C83" s="135"/>
      <c r="D83" s="102"/>
      <c r="E83" s="105" t="str">
        <f>IF(OR(ISBLANK(Term3_Early_Dismissal_1[[#This Row],[Start]]),ISBLANK(Term3_Early_Dismissal_1[[#This Row],[End]])),"",(Term3_Early_Dismissal_1[[#This Row],[End]]-Term3_Early_Dismissal_1[[#This Row],[Start]])*1440)</f>
        <v/>
      </c>
      <c r="F83" s="105" t="str">
        <f>IF(ISBLANK(Term3_Early_Dismissal_1[[#This Row],[Activity]]),"",IF(_xlfn.XLOOKUP(Term3_Early_Dismissal_1[[#This Row],[Activity]],Types_of_Activity[Type of Activity],Types_of_Activity[Classification])=1,Term3_Early_Dismissal_1[[#This Row],[Elapsed]],0))</f>
        <v/>
      </c>
      <c r="G83" s="105" t="str">
        <f>IF(ISBLANK(Term3_Early_Dismissal_1[[#This Row],[Activity]]),"",IF(_xlfn.XLOOKUP(Term3_Early_Dismissal_1[[#This Row],[Activity]],Types_of_Activity[Type of Activity],Types_of_Activity[Classification])=2,Term3_Early_Dismissal_1[[#This Row],[Elapsed]],0))</f>
        <v/>
      </c>
      <c r="H83"/>
      <c r="I83" s="135"/>
      <c r="J83" s="135"/>
      <c r="K83" s="102"/>
      <c r="L83" s="105" t="str">
        <f>IF(OR(ISBLANK(Term3_Early_Dismissal_2[[#This Row],[Start]]),ISBLANK(Term3_Early_Dismissal_2[[#This Row],[End]])),"",(Term3_Early_Dismissal_2[[#This Row],[End]]-Term3_Early_Dismissal_2[[#This Row],[Start]])*1440)</f>
        <v/>
      </c>
      <c r="M83" s="105" t="str">
        <f>IF(ISBLANK(Term3_Early_Dismissal_2[[#This Row],[Activity]]),"",IF(_xlfn.XLOOKUP(Term3_Early_Dismissal_2[[#This Row],[Activity]],Types_of_Activity[Type of Activity],Types_of_Activity[Classification])=1,Term3_Early_Dismissal_2[[#This Row],[Elapsed]],0))</f>
        <v/>
      </c>
      <c r="N83" s="105" t="str">
        <f>IF(ISBLANK(Term3_Early_Dismissal_2[[#This Row],[Activity]]),"",IF(_xlfn.XLOOKUP(Term3_Early_Dismissal_2[[#This Row],[Activity]],Types_of_Activity[Type of Activity],Types_of_Activity[Classification])=2,Term3_Early_Dismissal_2[[#This Row],[Elapsed]],0))</f>
        <v/>
      </c>
      <c r="O83"/>
      <c r="P83" s="135"/>
      <c r="Q83" s="135"/>
      <c r="R83" s="102"/>
      <c r="S83" s="105" t="str">
        <f>IF(OR(ISBLANK(Term3_Early_Dismissal_3[[#This Row],[Start]]),ISBLANK(Term3_Early_Dismissal_3[[#This Row],[End]])),"",(Term3_Early_Dismissal_3[[#This Row],[End]]-Term3_Early_Dismissal_3[[#This Row],[Start]])*1440)</f>
        <v/>
      </c>
      <c r="T83" s="105" t="str">
        <f>IF(ISBLANK(Term3_Early_Dismissal_3[[#This Row],[Activity]]),"",IF(_xlfn.XLOOKUP(Term3_Early_Dismissal_3[[#This Row],[Activity]],Types_of_Activity[Type of Activity],Types_of_Activity[Classification])=1,Term3_Early_Dismissal_3[[#This Row],[Elapsed]],0))</f>
        <v/>
      </c>
      <c r="U83" s="105" t="str">
        <f>IF(ISBLANK(Term3_Early_Dismissal_3[[#This Row],[Activity]]),"",IF(_xlfn.XLOOKUP(Term3_Early_Dismissal_3[[#This Row],[Activity]],Types_of_Activity[Type of Activity],Types_of_Activity[Classification])=2,Term3_Early_Dismissal_3[[#This Row],[Elapsed]],0))</f>
        <v/>
      </c>
      <c r="W83" s="135"/>
      <c r="X83" s="135"/>
      <c r="Y83" s="102"/>
      <c r="Z83" s="105" t="str">
        <f>IF(OR(ISBLANK(Term3_Early_Dismissal_4[[#This Row],[Start]]),ISBLANK(Term3_Early_Dismissal_4[[#This Row],[End]])),"",(Term3_Early_Dismissal_4[[#This Row],[End]]-Term3_Early_Dismissal_4[[#This Row],[Start]])*1440)</f>
        <v/>
      </c>
      <c r="AA83" s="105" t="str">
        <f>IF(ISBLANK(Term3_Early_Dismissal_4[[#This Row],[Activity]]),"",IF(_xlfn.XLOOKUP(Term3_Early_Dismissal_4[[#This Row],[Activity]],Types_of_Activity[Type of Activity],Types_of_Activity[Classification])=1,Term3_Early_Dismissal_4[[#This Row],[Elapsed]],0))</f>
        <v/>
      </c>
      <c r="AB83" s="105" t="str">
        <f>IF(ISBLANK(Term3_Early_Dismissal_4[[#This Row],[Activity]]),"",IF(_xlfn.XLOOKUP(Term3_Early_Dismissal_4[[#This Row],[Activity]],Types_of_Activity[Type of Activity],Types_of_Activity[Classification])=2,Term3_Early_Dismissal_4[[#This Row],[Elapsed]],0))</f>
        <v/>
      </c>
      <c r="AD83" s="135"/>
      <c r="AE83" s="135"/>
      <c r="AF83" s="102"/>
      <c r="AG83" s="105" t="str">
        <f>IF(OR(ISBLANK(Term3_Early_Dismissal_5[[#This Row],[Start]]),ISBLANK(Term3_Early_Dismissal_5[[#This Row],[End]])),"",(Term3_Early_Dismissal_5[[#This Row],[End]]-Term3_Early_Dismissal_5[[#This Row],[Start]])*1440)</f>
        <v/>
      </c>
      <c r="AH83" s="105" t="str">
        <f>IF(ISBLANK(Term3_Early_Dismissal_5[[#This Row],[Activity]]),"",IF(_xlfn.XLOOKUP(Term3_Early_Dismissal_5[[#This Row],[Activity]],Types_of_Activity[Type of Activity],Types_of_Activity[Classification])=1,Term3_Early_Dismissal_5[[#This Row],[Elapsed]],0))</f>
        <v/>
      </c>
      <c r="AI83" s="105" t="str">
        <f>IF(ISBLANK(Term3_Early_Dismissal_5[[#This Row],[Activity]]),"",IF(_xlfn.XLOOKUP(Term3_Early_Dismissal_5[[#This Row],[Activity]],Types_of_Activity[Type of Activity],Types_of_Activity[Classification])=2,Term3_Early_Dismissal_5[[#This Row],[Elapsed]],0))</f>
        <v/>
      </c>
      <c r="AK83" s="135"/>
      <c r="AL83" s="135"/>
      <c r="AM83" s="102"/>
      <c r="AN83" s="105" t="str">
        <f>IF(OR(ISBLANK(Term3_Early_Dismissal_6[[#This Row],[Start]]),ISBLANK(Term3_Early_Dismissal_6[[#This Row],[End]])),"",(Term3_Early_Dismissal_6[[#This Row],[End]]-Term3_Early_Dismissal_6[[#This Row],[Start]])*1440)</f>
        <v/>
      </c>
      <c r="AO83" s="105" t="str">
        <f>IF(ISBLANK(Term3_Early_Dismissal_6[[#This Row],[Activity]]),"",IF(_xlfn.XLOOKUP(Term3_Early_Dismissal_6[[#This Row],[Activity]],Types_of_Activity[Type of Activity],Types_of_Activity[Classification])=1,Term3_Early_Dismissal_6[[#This Row],[Elapsed]],0))</f>
        <v/>
      </c>
      <c r="AP83" s="105" t="str">
        <f>IF(ISBLANK(Term3_Early_Dismissal_6[[#This Row],[Activity]]),"",IF(_xlfn.XLOOKUP(Term3_Early_Dismissal_6[[#This Row],[Activity]],Types_of_Activity[Type of Activity],Types_of_Activity[Classification])=2,Term3_Early_Dismissal_6[[#This Row],[Elapsed]],0))</f>
        <v/>
      </c>
    </row>
    <row r="84" spans="2:42" x14ac:dyDescent="0.3">
      <c r="B84" s="135"/>
      <c r="C84" s="135"/>
      <c r="D84" s="102"/>
      <c r="E84" s="105" t="str">
        <f>IF(OR(ISBLANK(Term3_Early_Dismissal_1[[#This Row],[Start]]),ISBLANK(Term3_Early_Dismissal_1[[#This Row],[End]])),"",(Term3_Early_Dismissal_1[[#This Row],[End]]-Term3_Early_Dismissal_1[[#This Row],[Start]])*1440)</f>
        <v/>
      </c>
      <c r="F84" s="105" t="str">
        <f>IF(ISBLANK(Term3_Early_Dismissal_1[[#This Row],[Activity]]),"",IF(_xlfn.XLOOKUP(Term3_Early_Dismissal_1[[#This Row],[Activity]],Types_of_Activity[Type of Activity],Types_of_Activity[Classification])=1,Term3_Early_Dismissal_1[[#This Row],[Elapsed]],0))</f>
        <v/>
      </c>
      <c r="G84" s="105" t="str">
        <f>IF(ISBLANK(Term3_Early_Dismissal_1[[#This Row],[Activity]]),"",IF(_xlfn.XLOOKUP(Term3_Early_Dismissal_1[[#This Row],[Activity]],Types_of_Activity[Type of Activity],Types_of_Activity[Classification])=2,Term3_Early_Dismissal_1[[#This Row],[Elapsed]],0))</f>
        <v/>
      </c>
      <c r="H84"/>
      <c r="I84" s="135"/>
      <c r="J84" s="135"/>
      <c r="K84" s="102"/>
      <c r="L84" s="105" t="str">
        <f>IF(OR(ISBLANK(Term3_Early_Dismissal_2[[#This Row],[Start]]),ISBLANK(Term3_Early_Dismissal_2[[#This Row],[End]])),"",(Term3_Early_Dismissal_2[[#This Row],[End]]-Term3_Early_Dismissal_2[[#This Row],[Start]])*1440)</f>
        <v/>
      </c>
      <c r="M84" s="105" t="str">
        <f>IF(ISBLANK(Term3_Early_Dismissal_2[[#This Row],[Activity]]),"",IF(_xlfn.XLOOKUP(Term3_Early_Dismissal_2[[#This Row],[Activity]],Types_of_Activity[Type of Activity],Types_of_Activity[Classification])=1,Term3_Early_Dismissal_2[[#This Row],[Elapsed]],0))</f>
        <v/>
      </c>
      <c r="N84" s="105" t="str">
        <f>IF(ISBLANK(Term3_Early_Dismissal_2[[#This Row],[Activity]]),"",IF(_xlfn.XLOOKUP(Term3_Early_Dismissal_2[[#This Row],[Activity]],Types_of_Activity[Type of Activity],Types_of_Activity[Classification])=2,Term3_Early_Dismissal_2[[#This Row],[Elapsed]],0))</f>
        <v/>
      </c>
      <c r="O84"/>
      <c r="P84" s="135"/>
      <c r="Q84" s="135"/>
      <c r="R84" s="102"/>
      <c r="S84" s="105" t="str">
        <f>IF(OR(ISBLANK(Term3_Early_Dismissal_3[[#This Row],[Start]]),ISBLANK(Term3_Early_Dismissal_3[[#This Row],[End]])),"",(Term3_Early_Dismissal_3[[#This Row],[End]]-Term3_Early_Dismissal_3[[#This Row],[Start]])*1440)</f>
        <v/>
      </c>
      <c r="T84" s="105" t="str">
        <f>IF(ISBLANK(Term3_Early_Dismissal_3[[#This Row],[Activity]]),"",IF(_xlfn.XLOOKUP(Term3_Early_Dismissal_3[[#This Row],[Activity]],Types_of_Activity[Type of Activity],Types_of_Activity[Classification])=1,Term3_Early_Dismissal_3[[#This Row],[Elapsed]],0))</f>
        <v/>
      </c>
      <c r="U84" s="105" t="str">
        <f>IF(ISBLANK(Term3_Early_Dismissal_3[[#This Row],[Activity]]),"",IF(_xlfn.XLOOKUP(Term3_Early_Dismissal_3[[#This Row],[Activity]],Types_of_Activity[Type of Activity],Types_of_Activity[Classification])=2,Term3_Early_Dismissal_3[[#This Row],[Elapsed]],0))</f>
        <v/>
      </c>
      <c r="W84" s="135"/>
      <c r="X84" s="135"/>
      <c r="Y84" s="102"/>
      <c r="Z84" s="105" t="str">
        <f>IF(OR(ISBLANK(Term3_Early_Dismissal_4[[#This Row],[Start]]),ISBLANK(Term3_Early_Dismissal_4[[#This Row],[End]])),"",(Term3_Early_Dismissal_4[[#This Row],[End]]-Term3_Early_Dismissal_4[[#This Row],[Start]])*1440)</f>
        <v/>
      </c>
      <c r="AA84" s="105" t="str">
        <f>IF(ISBLANK(Term3_Early_Dismissal_4[[#This Row],[Activity]]),"",IF(_xlfn.XLOOKUP(Term3_Early_Dismissal_4[[#This Row],[Activity]],Types_of_Activity[Type of Activity],Types_of_Activity[Classification])=1,Term3_Early_Dismissal_4[[#This Row],[Elapsed]],0))</f>
        <v/>
      </c>
      <c r="AB84" s="105" t="str">
        <f>IF(ISBLANK(Term3_Early_Dismissal_4[[#This Row],[Activity]]),"",IF(_xlfn.XLOOKUP(Term3_Early_Dismissal_4[[#This Row],[Activity]],Types_of_Activity[Type of Activity],Types_of_Activity[Classification])=2,Term3_Early_Dismissal_4[[#This Row],[Elapsed]],0))</f>
        <v/>
      </c>
      <c r="AD84" s="135"/>
      <c r="AE84" s="135"/>
      <c r="AF84" s="102"/>
      <c r="AG84" s="105" t="str">
        <f>IF(OR(ISBLANK(Term3_Early_Dismissal_5[[#This Row],[Start]]),ISBLANK(Term3_Early_Dismissal_5[[#This Row],[End]])),"",(Term3_Early_Dismissal_5[[#This Row],[End]]-Term3_Early_Dismissal_5[[#This Row],[Start]])*1440)</f>
        <v/>
      </c>
      <c r="AH84" s="105" t="str">
        <f>IF(ISBLANK(Term3_Early_Dismissal_5[[#This Row],[Activity]]),"",IF(_xlfn.XLOOKUP(Term3_Early_Dismissal_5[[#This Row],[Activity]],Types_of_Activity[Type of Activity],Types_of_Activity[Classification])=1,Term3_Early_Dismissal_5[[#This Row],[Elapsed]],0))</f>
        <v/>
      </c>
      <c r="AI84" s="105" t="str">
        <f>IF(ISBLANK(Term3_Early_Dismissal_5[[#This Row],[Activity]]),"",IF(_xlfn.XLOOKUP(Term3_Early_Dismissal_5[[#This Row],[Activity]],Types_of_Activity[Type of Activity],Types_of_Activity[Classification])=2,Term3_Early_Dismissal_5[[#This Row],[Elapsed]],0))</f>
        <v/>
      </c>
      <c r="AK84" s="135"/>
      <c r="AL84" s="135"/>
      <c r="AM84" s="102"/>
      <c r="AN84" s="105" t="str">
        <f>IF(OR(ISBLANK(Term3_Early_Dismissal_6[[#This Row],[Start]]),ISBLANK(Term3_Early_Dismissal_6[[#This Row],[End]])),"",(Term3_Early_Dismissal_6[[#This Row],[End]]-Term3_Early_Dismissal_6[[#This Row],[Start]])*1440)</f>
        <v/>
      </c>
      <c r="AO84" s="105" t="str">
        <f>IF(ISBLANK(Term3_Early_Dismissal_6[[#This Row],[Activity]]),"",IF(_xlfn.XLOOKUP(Term3_Early_Dismissal_6[[#This Row],[Activity]],Types_of_Activity[Type of Activity],Types_of_Activity[Classification])=1,Term3_Early_Dismissal_6[[#This Row],[Elapsed]],0))</f>
        <v/>
      </c>
      <c r="AP84" s="105" t="str">
        <f>IF(ISBLANK(Term3_Early_Dismissal_6[[#This Row],[Activity]]),"",IF(_xlfn.XLOOKUP(Term3_Early_Dismissal_6[[#This Row],[Activity]],Types_of_Activity[Type of Activity],Types_of_Activity[Classification])=2,Term3_Early_Dismissal_6[[#This Row],[Elapsed]],0))</f>
        <v/>
      </c>
    </row>
    <row r="85" spans="2:42" x14ac:dyDescent="0.3">
      <c r="B85" s="135"/>
      <c r="C85" s="135"/>
      <c r="D85" s="102"/>
      <c r="E85" s="105" t="str">
        <f>IF(OR(ISBLANK(Term3_Early_Dismissal_1[[#This Row],[Start]]),ISBLANK(Term3_Early_Dismissal_1[[#This Row],[End]])),"",(Term3_Early_Dismissal_1[[#This Row],[End]]-Term3_Early_Dismissal_1[[#This Row],[Start]])*1440)</f>
        <v/>
      </c>
      <c r="F85" s="105" t="str">
        <f>IF(ISBLANK(Term3_Early_Dismissal_1[[#This Row],[Activity]]),"",IF(_xlfn.XLOOKUP(Term3_Early_Dismissal_1[[#This Row],[Activity]],Types_of_Activity[Type of Activity],Types_of_Activity[Classification])=1,Term3_Early_Dismissal_1[[#This Row],[Elapsed]],0))</f>
        <v/>
      </c>
      <c r="G85" s="105" t="str">
        <f>IF(ISBLANK(Term3_Early_Dismissal_1[[#This Row],[Activity]]),"",IF(_xlfn.XLOOKUP(Term3_Early_Dismissal_1[[#This Row],[Activity]],Types_of_Activity[Type of Activity],Types_of_Activity[Classification])=2,Term3_Early_Dismissal_1[[#This Row],[Elapsed]],0))</f>
        <v/>
      </c>
      <c r="H85"/>
      <c r="I85" s="135"/>
      <c r="J85" s="135"/>
      <c r="K85" s="102"/>
      <c r="L85" s="105" t="str">
        <f>IF(OR(ISBLANK(Term3_Early_Dismissal_2[[#This Row],[Start]]),ISBLANK(Term3_Early_Dismissal_2[[#This Row],[End]])),"",(Term3_Early_Dismissal_2[[#This Row],[End]]-Term3_Early_Dismissal_2[[#This Row],[Start]])*1440)</f>
        <v/>
      </c>
      <c r="M85" s="105" t="str">
        <f>IF(ISBLANK(Term3_Early_Dismissal_2[[#This Row],[Activity]]),"",IF(_xlfn.XLOOKUP(Term3_Early_Dismissal_2[[#This Row],[Activity]],Types_of_Activity[Type of Activity],Types_of_Activity[Classification])=1,Term3_Early_Dismissal_2[[#This Row],[Elapsed]],0))</f>
        <v/>
      </c>
      <c r="N85" s="105" t="str">
        <f>IF(ISBLANK(Term3_Early_Dismissal_2[[#This Row],[Activity]]),"",IF(_xlfn.XLOOKUP(Term3_Early_Dismissal_2[[#This Row],[Activity]],Types_of_Activity[Type of Activity],Types_of_Activity[Classification])=2,Term3_Early_Dismissal_2[[#This Row],[Elapsed]],0))</f>
        <v/>
      </c>
      <c r="O85"/>
      <c r="P85" s="135"/>
      <c r="Q85" s="135"/>
      <c r="R85" s="102"/>
      <c r="S85" s="105" t="str">
        <f>IF(OR(ISBLANK(Term3_Early_Dismissal_3[[#This Row],[Start]]),ISBLANK(Term3_Early_Dismissal_3[[#This Row],[End]])),"",(Term3_Early_Dismissal_3[[#This Row],[End]]-Term3_Early_Dismissal_3[[#This Row],[Start]])*1440)</f>
        <v/>
      </c>
      <c r="T85" s="105" t="str">
        <f>IF(ISBLANK(Term3_Early_Dismissal_3[[#This Row],[Activity]]),"",IF(_xlfn.XLOOKUP(Term3_Early_Dismissal_3[[#This Row],[Activity]],Types_of_Activity[Type of Activity],Types_of_Activity[Classification])=1,Term3_Early_Dismissal_3[[#This Row],[Elapsed]],0))</f>
        <v/>
      </c>
      <c r="U85" s="105" t="str">
        <f>IF(ISBLANK(Term3_Early_Dismissal_3[[#This Row],[Activity]]),"",IF(_xlfn.XLOOKUP(Term3_Early_Dismissal_3[[#This Row],[Activity]],Types_of_Activity[Type of Activity],Types_of_Activity[Classification])=2,Term3_Early_Dismissal_3[[#This Row],[Elapsed]],0))</f>
        <v/>
      </c>
      <c r="W85" s="135"/>
      <c r="X85" s="135"/>
      <c r="Y85" s="102"/>
      <c r="Z85" s="105" t="str">
        <f>IF(OR(ISBLANK(Term3_Early_Dismissal_4[[#This Row],[Start]]),ISBLANK(Term3_Early_Dismissal_4[[#This Row],[End]])),"",(Term3_Early_Dismissal_4[[#This Row],[End]]-Term3_Early_Dismissal_4[[#This Row],[Start]])*1440)</f>
        <v/>
      </c>
      <c r="AA85" s="105" t="str">
        <f>IF(ISBLANK(Term3_Early_Dismissal_4[[#This Row],[Activity]]),"",IF(_xlfn.XLOOKUP(Term3_Early_Dismissal_4[[#This Row],[Activity]],Types_of_Activity[Type of Activity],Types_of_Activity[Classification])=1,Term3_Early_Dismissal_4[[#This Row],[Elapsed]],0))</f>
        <v/>
      </c>
      <c r="AB85" s="105" t="str">
        <f>IF(ISBLANK(Term3_Early_Dismissal_4[[#This Row],[Activity]]),"",IF(_xlfn.XLOOKUP(Term3_Early_Dismissal_4[[#This Row],[Activity]],Types_of_Activity[Type of Activity],Types_of_Activity[Classification])=2,Term3_Early_Dismissal_4[[#This Row],[Elapsed]],0))</f>
        <v/>
      </c>
      <c r="AD85" s="135"/>
      <c r="AE85" s="135"/>
      <c r="AF85" s="102"/>
      <c r="AG85" s="105" t="str">
        <f>IF(OR(ISBLANK(Term3_Early_Dismissal_5[[#This Row],[Start]]),ISBLANK(Term3_Early_Dismissal_5[[#This Row],[End]])),"",(Term3_Early_Dismissal_5[[#This Row],[End]]-Term3_Early_Dismissal_5[[#This Row],[Start]])*1440)</f>
        <v/>
      </c>
      <c r="AH85" s="105" t="str">
        <f>IF(ISBLANK(Term3_Early_Dismissal_5[[#This Row],[Activity]]),"",IF(_xlfn.XLOOKUP(Term3_Early_Dismissal_5[[#This Row],[Activity]],Types_of_Activity[Type of Activity],Types_of_Activity[Classification])=1,Term3_Early_Dismissal_5[[#This Row],[Elapsed]],0))</f>
        <v/>
      </c>
      <c r="AI85" s="105" t="str">
        <f>IF(ISBLANK(Term3_Early_Dismissal_5[[#This Row],[Activity]]),"",IF(_xlfn.XLOOKUP(Term3_Early_Dismissal_5[[#This Row],[Activity]],Types_of_Activity[Type of Activity],Types_of_Activity[Classification])=2,Term3_Early_Dismissal_5[[#This Row],[Elapsed]],0))</f>
        <v/>
      </c>
      <c r="AK85" s="135"/>
      <c r="AL85" s="135"/>
      <c r="AM85" s="102"/>
      <c r="AN85" s="105" t="str">
        <f>IF(OR(ISBLANK(Term3_Early_Dismissal_6[[#This Row],[Start]]),ISBLANK(Term3_Early_Dismissal_6[[#This Row],[End]])),"",(Term3_Early_Dismissal_6[[#This Row],[End]]-Term3_Early_Dismissal_6[[#This Row],[Start]])*1440)</f>
        <v/>
      </c>
      <c r="AO85" s="105" t="str">
        <f>IF(ISBLANK(Term3_Early_Dismissal_6[[#This Row],[Activity]]),"",IF(_xlfn.XLOOKUP(Term3_Early_Dismissal_6[[#This Row],[Activity]],Types_of_Activity[Type of Activity],Types_of_Activity[Classification])=1,Term3_Early_Dismissal_6[[#This Row],[Elapsed]],0))</f>
        <v/>
      </c>
      <c r="AP85" s="105" t="str">
        <f>IF(ISBLANK(Term3_Early_Dismissal_6[[#This Row],[Activity]]),"",IF(_xlfn.XLOOKUP(Term3_Early_Dismissal_6[[#This Row],[Activity]],Types_of_Activity[Type of Activity],Types_of_Activity[Classification])=2,Term3_Early_Dismissal_6[[#This Row],[Elapsed]],0))</f>
        <v/>
      </c>
    </row>
    <row r="86" spans="2:42" x14ac:dyDescent="0.3">
      <c r="B86" s="135"/>
      <c r="C86" s="135"/>
      <c r="D86" s="102"/>
      <c r="E86" s="105" t="str">
        <f>IF(OR(ISBLANK(Term3_Early_Dismissal_1[[#This Row],[Start]]),ISBLANK(Term3_Early_Dismissal_1[[#This Row],[End]])),"",(Term3_Early_Dismissal_1[[#This Row],[End]]-Term3_Early_Dismissal_1[[#This Row],[Start]])*1440)</f>
        <v/>
      </c>
      <c r="F86" s="105" t="str">
        <f>IF(ISBLANK(Term3_Early_Dismissal_1[[#This Row],[Activity]]),"",IF(_xlfn.XLOOKUP(Term3_Early_Dismissal_1[[#This Row],[Activity]],Types_of_Activity[Type of Activity],Types_of_Activity[Classification])=1,Term3_Early_Dismissal_1[[#This Row],[Elapsed]],0))</f>
        <v/>
      </c>
      <c r="G86" s="105" t="str">
        <f>IF(ISBLANK(Term3_Early_Dismissal_1[[#This Row],[Activity]]),"",IF(_xlfn.XLOOKUP(Term3_Early_Dismissal_1[[#This Row],[Activity]],Types_of_Activity[Type of Activity],Types_of_Activity[Classification])=2,Term3_Early_Dismissal_1[[#This Row],[Elapsed]],0))</f>
        <v/>
      </c>
      <c r="H86"/>
      <c r="I86" s="135"/>
      <c r="J86" s="135"/>
      <c r="K86" s="102"/>
      <c r="L86" s="105" t="str">
        <f>IF(OR(ISBLANK(Term3_Early_Dismissal_2[[#This Row],[Start]]),ISBLANK(Term3_Early_Dismissal_2[[#This Row],[End]])),"",(Term3_Early_Dismissal_2[[#This Row],[End]]-Term3_Early_Dismissal_2[[#This Row],[Start]])*1440)</f>
        <v/>
      </c>
      <c r="M86" s="105" t="str">
        <f>IF(ISBLANK(Term3_Early_Dismissal_2[[#This Row],[Activity]]),"",IF(_xlfn.XLOOKUP(Term3_Early_Dismissal_2[[#This Row],[Activity]],Types_of_Activity[Type of Activity],Types_of_Activity[Classification])=1,Term3_Early_Dismissal_2[[#This Row],[Elapsed]],0))</f>
        <v/>
      </c>
      <c r="N86" s="105" t="str">
        <f>IF(ISBLANK(Term3_Early_Dismissal_2[[#This Row],[Activity]]),"",IF(_xlfn.XLOOKUP(Term3_Early_Dismissal_2[[#This Row],[Activity]],Types_of_Activity[Type of Activity],Types_of_Activity[Classification])=2,Term3_Early_Dismissal_2[[#This Row],[Elapsed]],0))</f>
        <v/>
      </c>
      <c r="O86"/>
      <c r="P86" s="135"/>
      <c r="Q86" s="135"/>
      <c r="R86" s="102"/>
      <c r="S86" s="105" t="str">
        <f>IF(OR(ISBLANK(Term3_Early_Dismissal_3[[#This Row],[Start]]),ISBLANK(Term3_Early_Dismissal_3[[#This Row],[End]])),"",(Term3_Early_Dismissal_3[[#This Row],[End]]-Term3_Early_Dismissal_3[[#This Row],[Start]])*1440)</f>
        <v/>
      </c>
      <c r="T86" s="105" t="str">
        <f>IF(ISBLANK(Term3_Early_Dismissal_3[[#This Row],[Activity]]),"",IF(_xlfn.XLOOKUP(Term3_Early_Dismissal_3[[#This Row],[Activity]],Types_of_Activity[Type of Activity],Types_of_Activity[Classification])=1,Term3_Early_Dismissal_3[[#This Row],[Elapsed]],0))</f>
        <v/>
      </c>
      <c r="U86" s="105" t="str">
        <f>IF(ISBLANK(Term3_Early_Dismissal_3[[#This Row],[Activity]]),"",IF(_xlfn.XLOOKUP(Term3_Early_Dismissal_3[[#This Row],[Activity]],Types_of_Activity[Type of Activity],Types_of_Activity[Classification])=2,Term3_Early_Dismissal_3[[#This Row],[Elapsed]],0))</f>
        <v/>
      </c>
      <c r="W86" s="135"/>
      <c r="X86" s="135"/>
      <c r="Y86" s="102"/>
      <c r="Z86" s="105" t="str">
        <f>IF(OR(ISBLANK(Term3_Early_Dismissal_4[[#This Row],[Start]]),ISBLANK(Term3_Early_Dismissal_4[[#This Row],[End]])),"",(Term3_Early_Dismissal_4[[#This Row],[End]]-Term3_Early_Dismissal_4[[#This Row],[Start]])*1440)</f>
        <v/>
      </c>
      <c r="AA86" s="105" t="str">
        <f>IF(ISBLANK(Term3_Early_Dismissal_4[[#This Row],[Activity]]),"",IF(_xlfn.XLOOKUP(Term3_Early_Dismissal_4[[#This Row],[Activity]],Types_of_Activity[Type of Activity],Types_of_Activity[Classification])=1,Term3_Early_Dismissal_4[[#This Row],[Elapsed]],0))</f>
        <v/>
      </c>
      <c r="AB86" s="105" t="str">
        <f>IF(ISBLANK(Term3_Early_Dismissal_4[[#This Row],[Activity]]),"",IF(_xlfn.XLOOKUP(Term3_Early_Dismissal_4[[#This Row],[Activity]],Types_of_Activity[Type of Activity],Types_of_Activity[Classification])=2,Term3_Early_Dismissal_4[[#This Row],[Elapsed]],0))</f>
        <v/>
      </c>
      <c r="AD86" s="135"/>
      <c r="AE86" s="135"/>
      <c r="AF86" s="102"/>
      <c r="AG86" s="105" t="str">
        <f>IF(OR(ISBLANK(Term3_Early_Dismissal_5[[#This Row],[Start]]),ISBLANK(Term3_Early_Dismissal_5[[#This Row],[End]])),"",(Term3_Early_Dismissal_5[[#This Row],[End]]-Term3_Early_Dismissal_5[[#This Row],[Start]])*1440)</f>
        <v/>
      </c>
      <c r="AH86" s="105" t="str">
        <f>IF(ISBLANK(Term3_Early_Dismissal_5[[#This Row],[Activity]]),"",IF(_xlfn.XLOOKUP(Term3_Early_Dismissal_5[[#This Row],[Activity]],Types_of_Activity[Type of Activity],Types_of_Activity[Classification])=1,Term3_Early_Dismissal_5[[#This Row],[Elapsed]],0))</f>
        <v/>
      </c>
      <c r="AI86" s="105" t="str">
        <f>IF(ISBLANK(Term3_Early_Dismissal_5[[#This Row],[Activity]]),"",IF(_xlfn.XLOOKUP(Term3_Early_Dismissal_5[[#This Row],[Activity]],Types_of_Activity[Type of Activity],Types_of_Activity[Classification])=2,Term3_Early_Dismissal_5[[#This Row],[Elapsed]],0))</f>
        <v/>
      </c>
      <c r="AK86" s="135"/>
      <c r="AL86" s="135"/>
      <c r="AM86" s="102"/>
      <c r="AN86" s="105" t="str">
        <f>IF(OR(ISBLANK(Term3_Early_Dismissal_6[[#This Row],[Start]]),ISBLANK(Term3_Early_Dismissal_6[[#This Row],[End]])),"",(Term3_Early_Dismissal_6[[#This Row],[End]]-Term3_Early_Dismissal_6[[#This Row],[Start]])*1440)</f>
        <v/>
      </c>
      <c r="AO86" s="105" t="str">
        <f>IF(ISBLANK(Term3_Early_Dismissal_6[[#This Row],[Activity]]),"",IF(_xlfn.XLOOKUP(Term3_Early_Dismissal_6[[#This Row],[Activity]],Types_of_Activity[Type of Activity],Types_of_Activity[Classification])=1,Term3_Early_Dismissal_6[[#This Row],[Elapsed]],0))</f>
        <v/>
      </c>
      <c r="AP86" s="105" t="str">
        <f>IF(ISBLANK(Term3_Early_Dismissal_6[[#This Row],[Activity]]),"",IF(_xlfn.XLOOKUP(Term3_Early_Dismissal_6[[#This Row],[Activity]],Types_of_Activity[Type of Activity],Types_of_Activity[Classification])=2,Term3_Early_Dismissal_6[[#This Row],[Elapsed]],0))</f>
        <v/>
      </c>
    </row>
    <row r="87" spans="2:42" x14ac:dyDescent="0.3">
      <c r="B87" s="135"/>
      <c r="C87" s="135"/>
      <c r="D87" s="102"/>
      <c r="E87" s="105" t="str">
        <f>IF(OR(ISBLANK(Term3_Early_Dismissal_1[[#This Row],[Start]]),ISBLANK(Term3_Early_Dismissal_1[[#This Row],[End]])),"",(Term3_Early_Dismissal_1[[#This Row],[End]]-Term3_Early_Dismissal_1[[#This Row],[Start]])*1440)</f>
        <v/>
      </c>
      <c r="F87" s="105" t="str">
        <f>IF(ISBLANK(Term3_Early_Dismissal_1[[#This Row],[Activity]]),"",IF(_xlfn.XLOOKUP(Term3_Early_Dismissal_1[[#This Row],[Activity]],Types_of_Activity[Type of Activity],Types_of_Activity[Classification])=1,Term3_Early_Dismissal_1[[#This Row],[Elapsed]],0))</f>
        <v/>
      </c>
      <c r="G87" s="105" t="str">
        <f>IF(ISBLANK(Term3_Early_Dismissal_1[[#This Row],[Activity]]),"",IF(_xlfn.XLOOKUP(Term3_Early_Dismissal_1[[#This Row],[Activity]],Types_of_Activity[Type of Activity],Types_of_Activity[Classification])=2,Term3_Early_Dismissal_1[[#This Row],[Elapsed]],0))</f>
        <v/>
      </c>
      <c r="H87"/>
      <c r="I87" s="135"/>
      <c r="J87" s="135"/>
      <c r="K87" s="102"/>
      <c r="L87" s="105" t="str">
        <f>IF(OR(ISBLANK(Term3_Early_Dismissal_2[[#This Row],[Start]]),ISBLANK(Term3_Early_Dismissal_2[[#This Row],[End]])),"",(Term3_Early_Dismissal_2[[#This Row],[End]]-Term3_Early_Dismissal_2[[#This Row],[Start]])*1440)</f>
        <v/>
      </c>
      <c r="M87" s="105" t="str">
        <f>IF(ISBLANK(Term3_Early_Dismissal_2[[#This Row],[Activity]]),"",IF(_xlfn.XLOOKUP(Term3_Early_Dismissal_2[[#This Row],[Activity]],Types_of_Activity[Type of Activity],Types_of_Activity[Classification])=1,Term3_Early_Dismissal_2[[#This Row],[Elapsed]],0))</f>
        <v/>
      </c>
      <c r="N87" s="105" t="str">
        <f>IF(ISBLANK(Term3_Early_Dismissal_2[[#This Row],[Activity]]),"",IF(_xlfn.XLOOKUP(Term3_Early_Dismissal_2[[#This Row],[Activity]],Types_of_Activity[Type of Activity],Types_of_Activity[Classification])=2,Term3_Early_Dismissal_2[[#This Row],[Elapsed]],0))</f>
        <v/>
      </c>
      <c r="O87"/>
      <c r="P87" s="135"/>
      <c r="Q87" s="135"/>
      <c r="R87" s="102"/>
      <c r="S87" s="105" t="str">
        <f>IF(OR(ISBLANK(Term3_Early_Dismissal_3[[#This Row],[Start]]),ISBLANK(Term3_Early_Dismissal_3[[#This Row],[End]])),"",(Term3_Early_Dismissal_3[[#This Row],[End]]-Term3_Early_Dismissal_3[[#This Row],[Start]])*1440)</f>
        <v/>
      </c>
      <c r="T87" s="105" t="str">
        <f>IF(ISBLANK(Term3_Early_Dismissal_3[[#This Row],[Activity]]),"",IF(_xlfn.XLOOKUP(Term3_Early_Dismissal_3[[#This Row],[Activity]],Types_of_Activity[Type of Activity],Types_of_Activity[Classification])=1,Term3_Early_Dismissal_3[[#This Row],[Elapsed]],0))</f>
        <v/>
      </c>
      <c r="U87" s="105" t="str">
        <f>IF(ISBLANK(Term3_Early_Dismissal_3[[#This Row],[Activity]]),"",IF(_xlfn.XLOOKUP(Term3_Early_Dismissal_3[[#This Row],[Activity]],Types_of_Activity[Type of Activity],Types_of_Activity[Classification])=2,Term3_Early_Dismissal_3[[#This Row],[Elapsed]],0))</f>
        <v/>
      </c>
      <c r="W87" s="135"/>
      <c r="X87" s="135"/>
      <c r="Y87" s="102"/>
      <c r="Z87" s="105" t="str">
        <f>IF(OR(ISBLANK(Term3_Early_Dismissal_4[[#This Row],[Start]]),ISBLANK(Term3_Early_Dismissal_4[[#This Row],[End]])),"",(Term3_Early_Dismissal_4[[#This Row],[End]]-Term3_Early_Dismissal_4[[#This Row],[Start]])*1440)</f>
        <v/>
      </c>
      <c r="AA87" s="105" t="str">
        <f>IF(ISBLANK(Term3_Early_Dismissal_4[[#This Row],[Activity]]),"",IF(_xlfn.XLOOKUP(Term3_Early_Dismissal_4[[#This Row],[Activity]],Types_of_Activity[Type of Activity],Types_of_Activity[Classification])=1,Term3_Early_Dismissal_4[[#This Row],[Elapsed]],0))</f>
        <v/>
      </c>
      <c r="AB87" s="105" t="str">
        <f>IF(ISBLANK(Term3_Early_Dismissal_4[[#This Row],[Activity]]),"",IF(_xlfn.XLOOKUP(Term3_Early_Dismissal_4[[#This Row],[Activity]],Types_of_Activity[Type of Activity],Types_of_Activity[Classification])=2,Term3_Early_Dismissal_4[[#This Row],[Elapsed]],0))</f>
        <v/>
      </c>
      <c r="AD87" s="135"/>
      <c r="AE87" s="135"/>
      <c r="AF87" s="102"/>
      <c r="AG87" s="105" t="str">
        <f>IF(OR(ISBLANK(Term3_Early_Dismissal_5[[#This Row],[Start]]),ISBLANK(Term3_Early_Dismissal_5[[#This Row],[End]])),"",(Term3_Early_Dismissal_5[[#This Row],[End]]-Term3_Early_Dismissal_5[[#This Row],[Start]])*1440)</f>
        <v/>
      </c>
      <c r="AH87" s="105" t="str">
        <f>IF(ISBLANK(Term3_Early_Dismissal_5[[#This Row],[Activity]]),"",IF(_xlfn.XLOOKUP(Term3_Early_Dismissal_5[[#This Row],[Activity]],Types_of_Activity[Type of Activity],Types_of_Activity[Classification])=1,Term3_Early_Dismissal_5[[#This Row],[Elapsed]],0))</f>
        <v/>
      </c>
      <c r="AI87" s="105" t="str">
        <f>IF(ISBLANK(Term3_Early_Dismissal_5[[#This Row],[Activity]]),"",IF(_xlfn.XLOOKUP(Term3_Early_Dismissal_5[[#This Row],[Activity]],Types_of_Activity[Type of Activity],Types_of_Activity[Classification])=2,Term3_Early_Dismissal_5[[#This Row],[Elapsed]],0))</f>
        <v/>
      </c>
      <c r="AK87" s="135"/>
      <c r="AL87" s="135"/>
      <c r="AM87" s="102"/>
      <c r="AN87" s="105" t="str">
        <f>IF(OR(ISBLANK(Term3_Early_Dismissal_6[[#This Row],[Start]]),ISBLANK(Term3_Early_Dismissal_6[[#This Row],[End]])),"",(Term3_Early_Dismissal_6[[#This Row],[End]]-Term3_Early_Dismissal_6[[#This Row],[Start]])*1440)</f>
        <v/>
      </c>
      <c r="AO87" s="105" t="str">
        <f>IF(ISBLANK(Term3_Early_Dismissal_6[[#This Row],[Activity]]),"",IF(_xlfn.XLOOKUP(Term3_Early_Dismissal_6[[#This Row],[Activity]],Types_of_Activity[Type of Activity],Types_of_Activity[Classification])=1,Term3_Early_Dismissal_6[[#This Row],[Elapsed]],0))</f>
        <v/>
      </c>
      <c r="AP87" s="105" t="str">
        <f>IF(ISBLANK(Term3_Early_Dismissal_6[[#This Row],[Activity]]),"",IF(_xlfn.XLOOKUP(Term3_Early_Dismissal_6[[#This Row],[Activity]],Types_of_Activity[Type of Activity],Types_of_Activity[Classification])=2,Term3_Early_Dismissal_6[[#This Row],[Elapsed]],0))</f>
        <v/>
      </c>
    </row>
    <row r="88" spans="2:42" x14ac:dyDescent="0.3">
      <c r="B88" s="135"/>
      <c r="C88" s="135"/>
      <c r="D88" s="102"/>
      <c r="E88" s="105" t="str">
        <f>IF(OR(ISBLANK(Term3_Early_Dismissal_1[[#This Row],[Start]]),ISBLANK(Term3_Early_Dismissal_1[[#This Row],[End]])),"",(Term3_Early_Dismissal_1[[#This Row],[End]]-Term3_Early_Dismissal_1[[#This Row],[Start]])*1440)</f>
        <v/>
      </c>
      <c r="F88" s="105" t="str">
        <f>IF(ISBLANK(Term3_Early_Dismissal_1[[#This Row],[Activity]]),"",IF(_xlfn.XLOOKUP(Term3_Early_Dismissal_1[[#This Row],[Activity]],Types_of_Activity[Type of Activity],Types_of_Activity[Classification])=1,Term3_Early_Dismissal_1[[#This Row],[Elapsed]],0))</f>
        <v/>
      </c>
      <c r="G88" s="105" t="str">
        <f>IF(ISBLANK(Term3_Early_Dismissal_1[[#This Row],[Activity]]),"",IF(_xlfn.XLOOKUP(Term3_Early_Dismissal_1[[#This Row],[Activity]],Types_of_Activity[Type of Activity],Types_of_Activity[Classification])=2,Term3_Early_Dismissal_1[[#This Row],[Elapsed]],0))</f>
        <v/>
      </c>
      <c r="H88"/>
      <c r="I88" s="135"/>
      <c r="J88" s="135"/>
      <c r="K88" s="102"/>
      <c r="L88" s="105" t="str">
        <f>IF(OR(ISBLANK(Term3_Early_Dismissal_2[[#This Row],[Start]]),ISBLANK(Term3_Early_Dismissal_2[[#This Row],[End]])),"",(Term3_Early_Dismissal_2[[#This Row],[End]]-Term3_Early_Dismissal_2[[#This Row],[Start]])*1440)</f>
        <v/>
      </c>
      <c r="M88" s="105" t="str">
        <f>IF(ISBLANK(Term3_Early_Dismissal_2[[#This Row],[Activity]]),"",IF(_xlfn.XLOOKUP(Term3_Early_Dismissal_2[[#This Row],[Activity]],Types_of_Activity[Type of Activity],Types_of_Activity[Classification])=1,Term3_Early_Dismissal_2[[#This Row],[Elapsed]],0))</f>
        <v/>
      </c>
      <c r="N88" s="105" t="str">
        <f>IF(ISBLANK(Term3_Early_Dismissal_2[[#This Row],[Activity]]),"",IF(_xlfn.XLOOKUP(Term3_Early_Dismissal_2[[#This Row],[Activity]],Types_of_Activity[Type of Activity],Types_of_Activity[Classification])=2,Term3_Early_Dismissal_2[[#This Row],[Elapsed]],0))</f>
        <v/>
      </c>
      <c r="O88"/>
      <c r="P88" s="135"/>
      <c r="Q88" s="135"/>
      <c r="R88" s="102"/>
      <c r="S88" s="105" t="str">
        <f>IF(OR(ISBLANK(Term3_Early_Dismissal_3[[#This Row],[Start]]),ISBLANK(Term3_Early_Dismissal_3[[#This Row],[End]])),"",(Term3_Early_Dismissal_3[[#This Row],[End]]-Term3_Early_Dismissal_3[[#This Row],[Start]])*1440)</f>
        <v/>
      </c>
      <c r="T88" s="105" t="str">
        <f>IF(ISBLANK(Term3_Early_Dismissal_3[[#This Row],[Activity]]),"",IF(_xlfn.XLOOKUP(Term3_Early_Dismissal_3[[#This Row],[Activity]],Types_of_Activity[Type of Activity],Types_of_Activity[Classification])=1,Term3_Early_Dismissal_3[[#This Row],[Elapsed]],0))</f>
        <v/>
      </c>
      <c r="U88" s="105" t="str">
        <f>IF(ISBLANK(Term3_Early_Dismissal_3[[#This Row],[Activity]]),"",IF(_xlfn.XLOOKUP(Term3_Early_Dismissal_3[[#This Row],[Activity]],Types_of_Activity[Type of Activity],Types_of_Activity[Classification])=2,Term3_Early_Dismissal_3[[#This Row],[Elapsed]],0))</f>
        <v/>
      </c>
      <c r="W88" s="135"/>
      <c r="X88" s="135"/>
      <c r="Y88" s="102"/>
      <c r="Z88" s="105" t="str">
        <f>IF(OR(ISBLANK(Term3_Early_Dismissal_4[[#This Row],[Start]]),ISBLANK(Term3_Early_Dismissal_4[[#This Row],[End]])),"",(Term3_Early_Dismissal_4[[#This Row],[End]]-Term3_Early_Dismissal_4[[#This Row],[Start]])*1440)</f>
        <v/>
      </c>
      <c r="AA88" s="105" t="str">
        <f>IF(ISBLANK(Term3_Early_Dismissal_4[[#This Row],[Activity]]),"",IF(_xlfn.XLOOKUP(Term3_Early_Dismissal_4[[#This Row],[Activity]],Types_of_Activity[Type of Activity],Types_of_Activity[Classification])=1,Term3_Early_Dismissal_4[[#This Row],[Elapsed]],0))</f>
        <v/>
      </c>
      <c r="AB88" s="105" t="str">
        <f>IF(ISBLANK(Term3_Early_Dismissal_4[[#This Row],[Activity]]),"",IF(_xlfn.XLOOKUP(Term3_Early_Dismissal_4[[#This Row],[Activity]],Types_of_Activity[Type of Activity],Types_of_Activity[Classification])=2,Term3_Early_Dismissal_4[[#This Row],[Elapsed]],0))</f>
        <v/>
      </c>
      <c r="AD88" s="135"/>
      <c r="AE88" s="135"/>
      <c r="AF88" s="102"/>
      <c r="AG88" s="105" t="str">
        <f>IF(OR(ISBLANK(Term3_Early_Dismissal_5[[#This Row],[Start]]),ISBLANK(Term3_Early_Dismissal_5[[#This Row],[End]])),"",(Term3_Early_Dismissal_5[[#This Row],[End]]-Term3_Early_Dismissal_5[[#This Row],[Start]])*1440)</f>
        <v/>
      </c>
      <c r="AH88" s="105" t="str">
        <f>IF(ISBLANK(Term3_Early_Dismissal_5[[#This Row],[Activity]]),"",IF(_xlfn.XLOOKUP(Term3_Early_Dismissal_5[[#This Row],[Activity]],Types_of_Activity[Type of Activity],Types_of_Activity[Classification])=1,Term3_Early_Dismissal_5[[#This Row],[Elapsed]],0))</f>
        <v/>
      </c>
      <c r="AI88" s="105" t="str">
        <f>IF(ISBLANK(Term3_Early_Dismissal_5[[#This Row],[Activity]]),"",IF(_xlfn.XLOOKUP(Term3_Early_Dismissal_5[[#This Row],[Activity]],Types_of_Activity[Type of Activity],Types_of_Activity[Classification])=2,Term3_Early_Dismissal_5[[#This Row],[Elapsed]],0))</f>
        <v/>
      </c>
      <c r="AK88" s="135"/>
      <c r="AL88" s="135"/>
      <c r="AM88" s="102"/>
      <c r="AN88" s="105" t="str">
        <f>IF(OR(ISBLANK(Term3_Early_Dismissal_6[[#This Row],[Start]]),ISBLANK(Term3_Early_Dismissal_6[[#This Row],[End]])),"",(Term3_Early_Dismissal_6[[#This Row],[End]]-Term3_Early_Dismissal_6[[#This Row],[Start]])*1440)</f>
        <v/>
      </c>
      <c r="AO88" s="105" t="str">
        <f>IF(ISBLANK(Term3_Early_Dismissal_6[[#This Row],[Activity]]),"",IF(_xlfn.XLOOKUP(Term3_Early_Dismissal_6[[#This Row],[Activity]],Types_of_Activity[Type of Activity],Types_of_Activity[Classification])=1,Term3_Early_Dismissal_6[[#This Row],[Elapsed]],0))</f>
        <v/>
      </c>
      <c r="AP88" s="105" t="str">
        <f>IF(ISBLANK(Term3_Early_Dismissal_6[[#This Row],[Activity]]),"",IF(_xlfn.XLOOKUP(Term3_Early_Dismissal_6[[#This Row],[Activity]],Types_of_Activity[Type of Activity],Types_of_Activity[Classification])=2,Term3_Early_Dismissal_6[[#This Row],[Elapsed]],0))</f>
        <v/>
      </c>
    </row>
    <row r="89" spans="2:42" x14ac:dyDescent="0.3">
      <c r="B89" s="135"/>
      <c r="C89" s="135"/>
      <c r="D89" s="102"/>
      <c r="E89" s="105" t="str">
        <f>IF(OR(ISBLANK(Term3_Early_Dismissal_1[[#This Row],[Start]]),ISBLANK(Term3_Early_Dismissal_1[[#This Row],[End]])),"",(Term3_Early_Dismissal_1[[#This Row],[End]]-Term3_Early_Dismissal_1[[#This Row],[Start]])*1440)</f>
        <v/>
      </c>
      <c r="F89" s="105" t="str">
        <f>IF(ISBLANK(Term3_Early_Dismissal_1[[#This Row],[Activity]]),"",IF(_xlfn.XLOOKUP(Term3_Early_Dismissal_1[[#This Row],[Activity]],Types_of_Activity[Type of Activity],Types_of_Activity[Classification])=1,Term3_Early_Dismissal_1[[#This Row],[Elapsed]],0))</f>
        <v/>
      </c>
      <c r="G89" s="105" t="str">
        <f>IF(ISBLANK(Term3_Early_Dismissal_1[[#This Row],[Activity]]),"",IF(_xlfn.XLOOKUP(Term3_Early_Dismissal_1[[#This Row],[Activity]],Types_of_Activity[Type of Activity],Types_of_Activity[Classification])=2,Term3_Early_Dismissal_1[[#This Row],[Elapsed]],0))</f>
        <v/>
      </c>
      <c r="H89"/>
      <c r="I89" s="135"/>
      <c r="J89" s="135"/>
      <c r="K89" s="102"/>
      <c r="L89" s="105" t="str">
        <f>IF(OR(ISBLANK(Term3_Early_Dismissal_2[[#This Row],[Start]]),ISBLANK(Term3_Early_Dismissal_2[[#This Row],[End]])),"",(Term3_Early_Dismissal_2[[#This Row],[End]]-Term3_Early_Dismissal_2[[#This Row],[Start]])*1440)</f>
        <v/>
      </c>
      <c r="M89" s="105" t="str">
        <f>IF(ISBLANK(Term3_Early_Dismissal_2[[#This Row],[Activity]]),"",IF(_xlfn.XLOOKUP(Term3_Early_Dismissal_2[[#This Row],[Activity]],Types_of_Activity[Type of Activity],Types_of_Activity[Classification])=1,Term3_Early_Dismissal_2[[#This Row],[Elapsed]],0))</f>
        <v/>
      </c>
      <c r="N89" s="105" t="str">
        <f>IF(ISBLANK(Term3_Early_Dismissal_2[[#This Row],[Activity]]),"",IF(_xlfn.XLOOKUP(Term3_Early_Dismissal_2[[#This Row],[Activity]],Types_of_Activity[Type of Activity],Types_of_Activity[Classification])=2,Term3_Early_Dismissal_2[[#This Row],[Elapsed]],0))</f>
        <v/>
      </c>
      <c r="O89"/>
      <c r="P89" s="135"/>
      <c r="Q89" s="135"/>
      <c r="R89" s="102"/>
      <c r="S89" s="105" t="str">
        <f>IF(OR(ISBLANK(Term3_Early_Dismissal_3[[#This Row],[Start]]),ISBLANK(Term3_Early_Dismissal_3[[#This Row],[End]])),"",(Term3_Early_Dismissal_3[[#This Row],[End]]-Term3_Early_Dismissal_3[[#This Row],[Start]])*1440)</f>
        <v/>
      </c>
      <c r="T89" s="105" t="str">
        <f>IF(ISBLANK(Term3_Early_Dismissal_3[[#This Row],[Activity]]),"",IF(_xlfn.XLOOKUP(Term3_Early_Dismissal_3[[#This Row],[Activity]],Types_of_Activity[Type of Activity],Types_of_Activity[Classification])=1,Term3_Early_Dismissal_3[[#This Row],[Elapsed]],0))</f>
        <v/>
      </c>
      <c r="U89" s="105" t="str">
        <f>IF(ISBLANK(Term3_Early_Dismissal_3[[#This Row],[Activity]]),"",IF(_xlfn.XLOOKUP(Term3_Early_Dismissal_3[[#This Row],[Activity]],Types_of_Activity[Type of Activity],Types_of_Activity[Classification])=2,Term3_Early_Dismissal_3[[#This Row],[Elapsed]],0))</f>
        <v/>
      </c>
      <c r="W89" s="135"/>
      <c r="X89" s="135"/>
      <c r="Y89" s="102"/>
      <c r="Z89" s="105" t="str">
        <f>IF(OR(ISBLANK(Term3_Early_Dismissal_4[[#This Row],[Start]]),ISBLANK(Term3_Early_Dismissal_4[[#This Row],[End]])),"",(Term3_Early_Dismissal_4[[#This Row],[End]]-Term3_Early_Dismissal_4[[#This Row],[Start]])*1440)</f>
        <v/>
      </c>
      <c r="AA89" s="105" t="str">
        <f>IF(ISBLANK(Term3_Early_Dismissal_4[[#This Row],[Activity]]),"",IF(_xlfn.XLOOKUP(Term3_Early_Dismissal_4[[#This Row],[Activity]],Types_of_Activity[Type of Activity],Types_of_Activity[Classification])=1,Term3_Early_Dismissal_4[[#This Row],[Elapsed]],0))</f>
        <v/>
      </c>
      <c r="AB89" s="105" t="str">
        <f>IF(ISBLANK(Term3_Early_Dismissal_4[[#This Row],[Activity]]),"",IF(_xlfn.XLOOKUP(Term3_Early_Dismissal_4[[#This Row],[Activity]],Types_of_Activity[Type of Activity],Types_of_Activity[Classification])=2,Term3_Early_Dismissal_4[[#This Row],[Elapsed]],0))</f>
        <v/>
      </c>
      <c r="AD89" s="135"/>
      <c r="AE89" s="135"/>
      <c r="AF89" s="102"/>
      <c r="AG89" s="105" t="str">
        <f>IF(OR(ISBLANK(Term3_Early_Dismissal_5[[#This Row],[Start]]),ISBLANK(Term3_Early_Dismissal_5[[#This Row],[End]])),"",(Term3_Early_Dismissal_5[[#This Row],[End]]-Term3_Early_Dismissal_5[[#This Row],[Start]])*1440)</f>
        <v/>
      </c>
      <c r="AH89" s="105" t="str">
        <f>IF(ISBLANK(Term3_Early_Dismissal_5[[#This Row],[Activity]]),"",IF(_xlfn.XLOOKUP(Term3_Early_Dismissal_5[[#This Row],[Activity]],Types_of_Activity[Type of Activity],Types_of_Activity[Classification])=1,Term3_Early_Dismissal_5[[#This Row],[Elapsed]],0))</f>
        <v/>
      </c>
      <c r="AI89" s="105" t="str">
        <f>IF(ISBLANK(Term3_Early_Dismissal_5[[#This Row],[Activity]]),"",IF(_xlfn.XLOOKUP(Term3_Early_Dismissal_5[[#This Row],[Activity]],Types_of_Activity[Type of Activity],Types_of_Activity[Classification])=2,Term3_Early_Dismissal_5[[#This Row],[Elapsed]],0))</f>
        <v/>
      </c>
      <c r="AK89" s="135"/>
      <c r="AL89" s="135"/>
      <c r="AM89" s="102"/>
      <c r="AN89" s="105" t="str">
        <f>IF(OR(ISBLANK(Term3_Early_Dismissal_6[[#This Row],[Start]]),ISBLANK(Term3_Early_Dismissal_6[[#This Row],[End]])),"",(Term3_Early_Dismissal_6[[#This Row],[End]]-Term3_Early_Dismissal_6[[#This Row],[Start]])*1440)</f>
        <v/>
      </c>
      <c r="AO89" s="105" t="str">
        <f>IF(ISBLANK(Term3_Early_Dismissal_6[[#This Row],[Activity]]),"",IF(_xlfn.XLOOKUP(Term3_Early_Dismissal_6[[#This Row],[Activity]],Types_of_Activity[Type of Activity],Types_of_Activity[Classification])=1,Term3_Early_Dismissal_6[[#This Row],[Elapsed]],0))</f>
        <v/>
      </c>
      <c r="AP89" s="105" t="str">
        <f>IF(ISBLANK(Term3_Early_Dismissal_6[[#This Row],[Activity]]),"",IF(_xlfn.XLOOKUP(Term3_Early_Dismissal_6[[#This Row],[Activity]],Types_of_Activity[Type of Activity],Types_of_Activity[Classification])=2,Term3_Early_Dismissal_6[[#This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6" x14ac:dyDescent="0.55000000000000004">
      <c r="B97" s="104" t="s">
        <v>25</v>
      </c>
      <c r="F97" s="105"/>
      <c r="G97" s="105"/>
      <c r="H97"/>
      <c r="I97" s="104" t="s">
        <v>26</v>
      </c>
      <c r="M97" s="105"/>
      <c r="N97" s="105"/>
      <c r="O97"/>
      <c r="P97" s="104" t="s">
        <v>27</v>
      </c>
      <c r="T97" s="105"/>
      <c r="U97" s="105"/>
    </row>
    <row r="98" spans="2:21" ht="28.8" x14ac:dyDescent="0.3">
      <c r="B98" s="119" t="s">
        <v>16</v>
      </c>
      <c r="C98" s="119" t="s">
        <v>17</v>
      </c>
      <c r="D98" s="119" t="s">
        <v>19</v>
      </c>
      <c r="E98" s="119" t="s">
        <v>18</v>
      </c>
      <c r="F98" s="119" t="s">
        <v>20</v>
      </c>
      <c r="G98" s="120" t="s">
        <v>4075</v>
      </c>
      <c r="H98"/>
      <c r="I98" s="119" t="s">
        <v>16</v>
      </c>
      <c r="J98" s="119" t="s">
        <v>17</v>
      </c>
      <c r="K98" s="119" t="s">
        <v>19</v>
      </c>
      <c r="L98" s="119" t="s">
        <v>18</v>
      </c>
      <c r="M98" s="119" t="s">
        <v>20</v>
      </c>
      <c r="N98" s="120" t="s">
        <v>4075</v>
      </c>
      <c r="O98"/>
      <c r="P98" s="119" t="s">
        <v>16</v>
      </c>
      <c r="Q98" s="119" t="s">
        <v>17</v>
      </c>
      <c r="R98" s="119" t="s">
        <v>19</v>
      </c>
      <c r="S98" s="119" t="s">
        <v>18</v>
      </c>
      <c r="T98" s="119" t="s">
        <v>20</v>
      </c>
      <c r="U98" s="120" t="s">
        <v>4075</v>
      </c>
    </row>
    <row r="99" spans="2:21" x14ac:dyDescent="0.3">
      <c r="B99" s="135"/>
      <c r="C99" s="135"/>
      <c r="D99" s="102"/>
      <c r="E99" s="105" t="str">
        <f>IF(OR(ISBLANK(Term3_Special_Day_1[[#This Row],[Start]]),ISBLANK(Term3_Special_Day_1[[#This Row],[End]])),"",(Term3_Special_Day_1[[#This Row],[End]]-Term3_Special_Day_1[[#This Row],[Start]])*1440)</f>
        <v/>
      </c>
      <c r="F99" s="105" t="str">
        <f>IF(ISBLANK(Term3_Special_Day_1[[#This Row],[Activity]]),"",IF(_xlfn.XLOOKUP(Term3_Special_Day_1[[#This Row],[Activity]],Types_of_Activity[Type of Activity],Types_of_Activity[Classification])=1,Term3_Special_Day_1[[#This Row],[Elapsed]],0))</f>
        <v/>
      </c>
      <c r="G99" s="105" t="str">
        <f>IF(ISBLANK(Term3_Special_Day_1[[#This Row],[Activity]]),"",IF(_xlfn.XLOOKUP(Term3_Special_Day_1[[#This Row],[Activity]],Types_of_Activity[Type of Activity],Types_of_Activity[Classification])=2,Term3_Special_Day_1[[#This Row],[Elapsed]],0))</f>
        <v/>
      </c>
      <c r="H99"/>
      <c r="I99" s="135"/>
      <c r="J99" s="135"/>
      <c r="K99" s="102"/>
      <c r="L99" s="105" t="str">
        <f>IF(OR(ISBLANK(Term3_Special_Day_2[[#This Row],[Start]]),ISBLANK(Term3_Special_Day_2[[#This Row],[End]])),"",(Term3_Special_Day_2[[#This Row],[End]]-Term3_Special_Day_2[[#This Row],[Start]])*1440)</f>
        <v/>
      </c>
      <c r="M99" s="105" t="str">
        <f>IF(ISBLANK(Term3_Special_Day_2[[#This Row],[Activity]]),"",IF(_xlfn.XLOOKUP(Term3_Special_Day_2[[#This Row],[Activity]],Types_of_Activity[Type of Activity],Types_of_Activity[Classification])=1,Term3_Special_Day_2[[#This Row],[Elapsed]],0))</f>
        <v/>
      </c>
      <c r="N99" s="105" t="str">
        <f>IF(ISBLANK(Term3_Special_Day_2[[#This Row],[Activity]]),"",IF(_xlfn.XLOOKUP(Term3_Special_Day_2[[#This Row],[Activity]],Types_of_Activity[Type of Activity],Types_of_Activity[Classification])=2,Term3_Special_Day_2[[#This Row],[Elapsed]],0))</f>
        <v/>
      </c>
      <c r="O99"/>
      <c r="P99" s="135"/>
      <c r="Q99" s="135"/>
      <c r="R99" s="102"/>
      <c r="S99" s="105" t="str">
        <f>IF(OR(ISBLANK(Term3_Special_Day_3[[#This Row],[Start]]),ISBLANK(Term3_Special_Day_3[[#This Row],[End]])),"",(Term3_Special_Day_3[[#This Row],[End]]-Term3_Special_Day_3[[#This Row],[Start]])*1440)</f>
        <v/>
      </c>
      <c r="T99" s="105" t="str">
        <f>IF(ISBLANK(Term3_Special_Day_3[[#This Row],[Activity]]),"",IF(_xlfn.XLOOKUP(Term3_Special_Day_3[[#This Row],[Activity]],Types_of_Activity[Type of Activity],Types_of_Activity[Classification])=1,Term3_Special_Day_3[[#This Row],[Elapsed]],0))</f>
        <v/>
      </c>
      <c r="U99" s="105" t="str">
        <f>IF(ISBLANK(Term3_Special_Day_3[[#This Row],[Activity]]),"",IF(_xlfn.XLOOKUP(Term3_Special_Day_3[[#This Row],[Activity]],Types_of_Activity[Type of Activity],Types_of_Activity[Classification])=2,Term3_Special_Day_3[[#This Row],[Elapsed]],0))</f>
        <v/>
      </c>
    </row>
    <row r="100" spans="2:21" x14ac:dyDescent="0.3">
      <c r="B100" s="135"/>
      <c r="C100" s="135"/>
      <c r="D100" s="102"/>
      <c r="E100" s="105" t="str">
        <f>IF(OR(ISBLANK(Term3_Special_Day_1[[#This Row],[Start]]),ISBLANK(Term3_Special_Day_1[[#This Row],[End]])),"",(Term3_Special_Day_1[[#This Row],[End]]-Term3_Special_Day_1[[#This Row],[Start]])*1440)</f>
        <v/>
      </c>
      <c r="F100" s="105" t="str">
        <f>IF(ISBLANK(Term3_Special_Day_1[[#This Row],[Activity]]),"",IF(_xlfn.XLOOKUP(Term3_Special_Day_1[[#This Row],[Activity]],Types_of_Activity[Type of Activity],Types_of_Activity[Classification])=1,Term3_Special_Day_1[[#This Row],[Elapsed]],0))</f>
        <v/>
      </c>
      <c r="G100" s="105" t="str">
        <f>IF(ISBLANK(Term3_Special_Day_1[[#This Row],[Activity]]),"",IF(_xlfn.XLOOKUP(Term3_Special_Day_1[[#This Row],[Activity]],Types_of_Activity[Type of Activity],Types_of_Activity[Classification])=2,Term3_Special_Day_1[[#This Row],[Elapsed]],0))</f>
        <v/>
      </c>
      <c r="H100"/>
      <c r="I100" s="135"/>
      <c r="J100" s="135"/>
      <c r="K100" s="102"/>
      <c r="L100" s="105" t="str">
        <f>IF(OR(ISBLANK(Term3_Special_Day_2[[#This Row],[Start]]),ISBLANK(Term3_Special_Day_2[[#This Row],[End]])),"",(Term3_Special_Day_2[[#This Row],[End]]-Term3_Special_Day_2[[#This Row],[Start]])*1440)</f>
        <v/>
      </c>
      <c r="M100" s="105" t="str">
        <f>IF(ISBLANK(Term3_Special_Day_2[[#This Row],[Activity]]),"",IF(_xlfn.XLOOKUP(Term3_Special_Day_2[[#This Row],[Activity]],Types_of_Activity[Type of Activity],Types_of_Activity[Classification])=1,Term3_Special_Day_2[[#This Row],[Elapsed]],0))</f>
        <v/>
      </c>
      <c r="N100" s="105" t="str">
        <f>IF(ISBLANK(Term3_Special_Day_2[[#This Row],[Activity]]),"",IF(_xlfn.XLOOKUP(Term3_Special_Day_2[[#This Row],[Activity]],Types_of_Activity[Type of Activity],Types_of_Activity[Classification])=2,Term3_Special_Day_2[[#This Row],[Elapsed]],0))</f>
        <v/>
      </c>
      <c r="O100"/>
      <c r="P100" s="135"/>
      <c r="Q100" s="135"/>
      <c r="R100" s="102"/>
      <c r="S100" s="105" t="str">
        <f>IF(OR(ISBLANK(Term3_Special_Day_3[[#This Row],[Start]]),ISBLANK(Term3_Special_Day_3[[#This Row],[End]])),"",(Term3_Special_Day_3[[#This Row],[End]]-Term3_Special_Day_3[[#This Row],[Start]])*1440)</f>
        <v/>
      </c>
      <c r="T100" s="105" t="str">
        <f>IF(ISBLANK(Term3_Special_Day_3[[#This Row],[Activity]]),"",IF(_xlfn.XLOOKUP(Term3_Special_Day_3[[#This Row],[Activity]],Types_of_Activity[Type of Activity],Types_of_Activity[Classification])=1,Term3_Special_Day_3[[#This Row],[Elapsed]],0))</f>
        <v/>
      </c>
      <c r="U100" s="105" t="str">
        <f>IF(ISBLANK(Term3_Special_Day_3[[#This Row],[Activity]]),"",IF(_xlfn.XLOOKUP(Term3_Special_Day_3[[#This Row],[Activity]],Types_of_Activity[Type of Activity],Types_of_Activity[Classification])=2,Term3_Special_Day_3[[#This Row],[Elapsed]],0))</f>
        <v/>
      </c>
    </row>
    <row r="101" spans="2:21" x14ac:dyDescent="0.3">
      <c r="B101" s="135"/>
      <c r="C101" s="135"/>
      <c r="D101" s="102"/>
      <c r="E101" s="105" t="str">
        <f>IF(OR(ISBLANK(Term3_Special_Day_1[[#This Row],[Start]]),ISBLANK(Term3_Special_Day_1[[#This Row],[End]])),"",(Term3_Special_Day_1[[#This Row],[End]]-Term3_Special_Day_1[[#This Row],[Start]])*1440)</f>
        <v/>
      </c>
      <c r="F101" s="105" t="str">
        <f>IF(ISBLANK(Term3_Special_Day_1[[#This Row],[Activity]]),"",IF(_xlfn.XLOOKUP(Term3_Special_Day_1[[#This Row],[Activity]],Types_of_Activity[Type of Activity],Types_of_Activity[Classification])=1,Term3_Special_Day_1[[#This Row],[Elapsed]],0))</f>
        <v/>
      </c>
      <c r="G101" s="105" t="str">
        <f>IF(ISBLANK(Term3_Special_Day_1[[#This Row],[Activity]]),"",IF(_xlfn.XLOOKUP(Term3_Special_Day_1[[#This Row],[Activity]],Types_of_Activity[Type of Activity],Types_of_Activity[Classification])=2,Term3_Special_Day_1[[#This Row],[Elapsed]],0))</f>
        <v/>
      </c>
      <c r="H101"/>
      <c r="I101" s="135"/>
      <c r="J101" s="135"/>
      <c r="K101" s="102"/>
      <c r="L101" s="105" t="str">
        <f>IF(OR(ISBLANK(Term3_Special_Day_2[[#This Row],[Start]]),ISBLANK(Term3_Special_Day_2[[#This Row],[End]])),"",(Term3_Special_Day_2[[#This Row],[End]]-Term3_Special_Day_2[[#This Row],[Start]])*1440)</f>
        <v/>
      </c>
      <c r="M101" s="105" t="str">
        <f>IF(ISBLANK(Term3_Special_Day_2[[#This Row],[Activity]]),"",IF(_xlfn.XLOOKUP(Term3_Special_Day_2[[#This Row],[Activity]],Types_of_Activity[Type of Activity],Types_of_Activity[Classification])=1,Term3_Special_Day_2[[#This Row],[Elapsed]],0))</f>
        <v/>
      </c>
      <c r="N101" s="105" t="str">
        <f>IF(ISBLANK(Term3_Special_Day_2[[#This Row],[Activity]]),"",IF(_xlfn.XLOOKUP(Term3_Special_Day_2[[#This Row],[Activity]],Types_of_Activity[Type of Activity],Types_of_Activity[Classification])=2,Term3_Special_Day_2[[#This Row],[Elapsed]],0))</f>
        <v/>
      </c>
      <c r="O101"/>
      <c r="P101" s="135"/>
      <c r="Q101" s="135"/>
      <c r="R101" s="102"/>
      <c r="S101" s="105" t="str">
        <f>IF(OR(ISBLANK(Term3_Special_Day_3[[#This Row],[Start]]),ISBLANK(Term3_Special_Day_3[[#This Row],[End]])),"",(Term3_Special_Day_3[[#This Row],[End]]-Term3_Special_Day_3[[#This Row],[Start]])*1440)</f>
        <v/>
      </c>
      <c r="T101" s="105" t="str">
        <f>IF(ISBLANK(Term3_Special_Day_3[[#This Row],[Activity]]),"",IF(_xlfn.XLOOKUP(Term3_Special_Day_3[[#This Row],[Activity]],Types_of_Activity[Type of Activity],Types_of_Activity[Classification])=1,Term3_Special_Day_3[[#This Row],[Elapsed]],0))</f>
        <v/>
      </c>
      <c r="U101" s="105" t="str">
        <f>IF(ISBLANK(Term3_Special_Day_3[[#This Row],[Activity]]),"",IF(_xlfn.XLOOKUP(Term3_Special_Day_3[[#This Row],[Activity]],Types_of_Activity[Type of Activity],Types_of_Activity[Classification])=2,Term3_Special_Day_3[[#This Row],[Elapsed]],0))</f>
        <v/>
      </c>
    </row>
    <row r="102" spans="2:21" x14ac:dyDescent="0.3">
      <c r="B102" s="135"/>
      <c r="C102" s="135"/>
      <c r="D102" s="102"/>
      <c r="E102" s="105" t="str">
        <f>IF(OR(ISBLANK(Term3_Special_Day_1[[#This Row],[Start]]),ISBLANK(Term3_Special_Day_1[[#This Row],[End]])),"",(Term3_Special_Day_1[[#This Row],[End]]-Term3_Special_Day_1[[#This Row],[Start]])*1440)</f>
        <v/>
      </c>
      <c r="F102" s="105" t="str">
        <f>IF(ISBLANK(Term3_Special_Day_1[[#This Row],[Activity]]),"",IF(_xlfn.XLOOKUP(Term3_Special_Day_1[[#This Row],[Activity]],Types_of_Activity[Type of Activity],Types_of_Activity[Classification])=1,Term3_Special_Day_1[[#This Row],[Elapsed]],0))</f>
        <v/>
      </c>
      <c r="G102" s="105" t="str">
        <f>IF(ISBLANK(Term3_Special_Day_1[[#This Row],[Activity]]),"",IF(_xlfn.XLOOKUP(Term3_Special_Day_1[[#This Row],[Activity]],Types_of_Activity[Type of Activity],Types_of_Activity[Classification])=2,Term3_Special_Day_1[[#This Row],[Elapsed]],0))</f>
        <v/>
      </c>
      <c r="H102"/>
      <c r="I102" s="135"/>
      <c r="J102" s="135"/>
      <c r="K102" s="102"/>
      <c r="L102" s="105" t="str">
        <f>IF(OR(ISBLANK(Term3_Special_Day_2[[#This Row],[Start]]),ISBLANK(Term3_Special_Day_2[[#This Row],[End]])),"",(Term3_Special_Day_2[[#This Row],[End]]-Term3_Special_Day_2[[#This Row],[Start]])*1440)</f>
        <v/>
      </c>
      <c r="M102" s="105" t="str">
        <f>IF(ISBLANK(Term3_Special_Day_2[[#This Row],[Activity]]),"",IF(_xlfn.XLOOKUP(Term3_Special_Day_2[[#This Row],[Activity]],Types_of_Activity[Type of Activity],Types_of_Activity[Classification])=1,Term3_Special_Day_2[[#This Row],[Elapsed]],0))</f>
        <v/>
      </c>
      <c r="N102" s="105" t="str">
        <f>IF(ISBLANK(Term3_Special_Day_2[[#This Row],[Activity]]),"",IF(_xlfn.XLOOKUP(Term3_Special_Day_2[[#This Row],[Activity]],Types_of_Activity[Type of Activity],Types_of_Activity[Classification])=2,Term3_Special_Day_2[[#This Row],[Elapsed]],0))</f>
        <v/>
      </c>
      <c r="O102"/>
      <c r="P102" s="135"/>
      <c r="Q102" s="135"/>
      <c r="R102" s="102"/>
      <c r="S102" s="105" t="str">
        <f>IF(OR(ISBLANK(Term3_Special_Day_3[[#This Row],[Start]]),ISBLANK(Term3_Special_Day_3[[#This Row],[End]])),"",(Term3_Special_Day_3[[#This Row],[End]]-Term3_Special_Day_3[[#This Row],[Start]])*1440)</f>
        <v/>
      </c>
      <c r="T102" s="105" t="str">
        <f>IF(ISBLANK(Term3_Special_Day_3[[#This Row],[Activity]]),"",IF(_xlfn.XLOOKUP(Term3_Special_Day_3[[#This Row],[Activity]],Types_of_Activity[Type of Activity],Types_of_Activity[Classification])=1,Term3_Special_Day_3[[#This Row],[Elapsed]],0))</f>
        <v/>
      </c>
      <c r="U102" s="105" t="str">
        <f>IF(ISBLANK(Term3_Special_Day_3[[#This Row],[Activity]]),"",IF(_xlfn.XLOOKUP(Term3_Special_Day_3[[#This Row],[Activity]],Types_of_Activity[Type of Activity],Types_of_Activity[Classification])=2,Term3_Special_Day_3[[#This Row],[Elapsed]],0))</f>
        <v/>
      </c>
    </row>
    <row r="103" spans="2:21" x14ac:dyDescent="0.3">
      <c r="B103" s="135"/>
      <c r="C103" s="135"/>
      <c r="D103" s="102"/>
      <c r="E103" s="105" t="str">
        <f>IF(OR(ISBLANK(Term3_Special_Day_1[[#This Row],[Start]]),ISBLANK(Term3_Special_Day_1[[#This Row],[End]])),"",(Term3_Special_Day_1[[#This Row],[End]]-Term3_Special_Day_1[[#This Row],[Start]])*1440)</f>
        <v/>
      </c>
      <c r="F103" s="105" t="str">
        <f>IF(ISBLANK(Term3_Special_Day_1[[#This Row],[Activity]]),"",IF(_xlfn.XLOOKUP(Term3_Special_Day_1[[#This Row],[Activity]],Types_of_Activity[Type of Activity],Types_of_Activity[Classification])=1,Term3_Special_Day_1[[#This Row],[Elapsed]],0))</f>
        <v/>
      </c>
      <c r="G103" s="105" t="str">
        <f>IF(ISBLANK(Term3_Special_Day_1[[#This Row],[Activity]]),"",IF(_xlfn.XLOOKUP(Term3_Special_Day_1[[#This Row],[Activity]],Types_of_Activity[Type of Activity],Types_of_Activity[Classification])=2,Term3_Special_Day_1[[#This Row],[Elapsed]],0))</f>
        <v/>
      </c>
      <c r="H103"/>
      <c r="I103" s="135"/>
      <c r="J103" s="135"/>
      <c r="K103" s="102"/>
      <c r="L103" s="105" t="str">
        <f>IF(OR(ISBLANK(Term3_Special_Day_2[[#This Row],[Start]]),ISBLANK(Term3_Special_Day_2[[#This Row],[End]])),"",(Term3_Special_Day_2[[#This Row],[End]]-Term3_Special_Day_2[[#This Row],[Start]])*1440)</f>
        <v/>
      </c>
      <c r="M103" s="105" t="str">
        <f>IF(ISBLANK(Term3_Special_Day_2[[#This Row],[Activity]]),"",IF(_xlfn.XLOOKUP(Term3_Special_Day_2[[#This Row],[Activity]],Types_of_Activity[Type of Activity],Types_of_Activity[Classification])=1,Term3_Special_Day_2[[#This Row],[Elapsed]],0))</f>
        <v/>
      </c>
      <c r="N103" s="105" t="str">
        <f>IF(ISBLANK(Term3_Special_Day_2[[#This Row],[Activity]]),"",IF(_xlfn.XLOOKUP(Term3_Special_Day_2[[#This Row],[Activity]],Types_of_Activity[Type of Activity],Types_of_Activity[Classification])=2,Term3_Special_Day_2[[#This Row],[Elapsed]],0))</f>
        <v/>
      </c>
      <c r="O103"/>
      <c r="P103" s="135"/>
      <c r="Q103" s="135"/>
      <c r="R103" s="102"/>
      <c r="S103" s="105" t="str">
        <f>IF(OR(ISBLANK(Term3_Special_Day_3[[#This Row],[Start]]),ISBLANK(Term3_Special_Day_3[[#This Row],[End]])),"",(Term3_Special_Day_3[[#This Row],[End]]-Term3_Special_Day_3[[#This Row],[Start]])*1440)</f>
        <v/>
      </c>
      <c r="T103" s="105" t="str">
        <f>IF(ISBLANK(Term3_Special_Day_3[[#This Row],[Activity]]),"",IF(_xlfn.XLOOKUP(Term3_Special_Day_3[[#This Row],[Activity]],Types_of_Activity[Type of Activity],Types_of_Activity[Classification])=1,Term3_Special_Day_3[[#This Row],[Elapsed]],0))</f>
        <v/>
      </c>
      <c r="U103" s="105" t="str">
        <f>IF(ISBLANK(Term3_Special_Day_3[[#This Row],[Activity]]),"",IF(_xlfn.XLOOKUP(Term3_Special_Day_3[[#This Row],[Activity]],Types_of_Activity[Type of Activity],Types_of_Activity[Classification])=2,Term3_Special_Day_3[[#This Row],[Elapsed]],0))</f>
        <v/>
      </c>
    </row>
    <row r="104" spans="2:21" x14ac:dyDescent="0.3">
      <c r="B104" s="135"/>
      <c r="C104" s="135"/>
      <c r="D104" s="102"/>
      <c r="E104" s="105" t="str">
        <f>IF(OR(ISBLANK(Term3_Special_Day_1[[#This Row],[Start]]),ISBLANK(Term3_Special_Day_1[[#This Row],[End]])),"",(Term3_Special_Day_1[[#This Row],[End]]-Term3_Special_Day_1[[#This Row],[Start]])*1440)</f>
        <v/>
      </c>
      <c r="F104" s="105" t="str">
        <f>IF(ISBLANK(Term3_Special_Day_1[[#This Row],[Activity]]),"",IF(_xlfn.XLOOKUP(Term3_Special_Day_1[[#This Row],[Activity]],Types_of_Activity[Type of Activity],Types_of_Activity[Classification])=1,Term3_Special_Day_1[[#This Row],[Elapsed]],0))</f>
        <v/>
      </c>
      <c r="G104" s="105" t="str">
        <f>IF(ISBLANK(Term3_Special_Day_1[[#This Row],[Activity]]),"",IF(_xlfn.XLOOKUP(Term3_Special_Day_1[[#This Row],[Activity]],Types_of_Activity[Type of Activity],Types_of_Activity[Classification])=2,Term3_Special_Day_1[[#This Row],[Elapsed]],0))</f>
        <v/>
      </c>
      <c r="H104"/>
      <c r="I104" s="135"/>
      <c r="J104" s="135"/>
      <c r="K104" s="102"/>
      <c r="L104" s="105" t="str">
        <f>IF(OR(ISBLANK(Term3_Special_Day_2[[#This Row],[Start]]),ISBLANK(Term3_Special_Day_2[[#This Row],[End]])),"",(Term3_Special_Day_2[[#This Row],[End]]-Term3_Special_Day_2[[#This Row],[Start]])*1440)</f>
        <v/>
      </c>
      <c r="M104" s="105" t="str">
        <f>IF(ISBLANK(Term3_Special_Day_2[[#This Row],[Activity]]),"",IF(_xlfn.XLOOKUP(Term3_Special_Day_2[[#This Row],[Activity]],Types_of_Activity[Type of Activity],Types_of_Activity[Classification])=1,Term3_Special_Day_2[[#This Row],[Elapsed]],0))</f>
        <v/>
      </c>
      <c r="N104" s="105" t="str">
        <f>IF(ISBLANK(Term3_Special_Day_2[[#This Row],[Activity]]),"",IF(_xlfn.XLOOKUP(Term3_Special_Day_2[[#This Row],[Activity]],Types_of_Activity[Type of Activity],Types_of_Activity[Classification])=2,Term3_Special_Day_2[[#This Row],[Elapsed]],0))</f>
        <v/>
      </c>
      <c r="O104"/>
      <c r="P104" s="135"/>
      <c r="Q104" s="135"/>
      <c r="R104" s="102"/>
      <c r="S104" s="105" t="str">
        <f>IF(OR(ISBLANK(Term3_Special_Day_3[[#This Row],[Start]]),ISBLANK(Term3_Special_Day_3[[#This Row],[End]])),"",(Term3_Special_Day_3[[#This Row],[End]]-Term3_Special_Day_3[[#This Row],[Start]])*1440)</f>
        <v/>
      </c>
      <c r="T104" s="105" t="str">
        <f>IF(ISBLANK(Term3_Special_Day_3[[#This Row],[Activity]]),"",IF(_xlfn.XLOOKUP(Term3_Special_Day_3[[#This Row],[Activity]],Types_of_Activity[Type of Activity],Types_of_Activity[Classification])=1,Term3_Special_Day_3[[#This Row],[Elapsed]],0))</f>
        <v/>
      </c>
      <c r="U104" s="105" t="str">
        <f>IF(ISBLANK(Term3_Special_Day_3[[#This Row],[Activity]]),"",IF(_xlfn.XLOOKUP(Term3_Special_Day_3[[#This Row],[Activity]],Types_of_Activity[Type of Activity],Types_of_Activity[Classification])=2,Term3_Special_Day_3[[#This Row],[Elapsed]],0))</f>
        <v/>
      </c>
    </row>
    <row r="105" spans="2:21" x14ac:dyDescent="0.3">
      <c r="B105" s="135"/>
      <c r="C105" s="135"/>
      <c r="D105" s="102"/>
      <c r="E105" s="105" t="str">
        <f>IF(OR(ISBLANK(Term3_Special_Day_1[[#This Row],[Start]]),ISBLANK(Term3_Special_Day_1[[#This Row],[End]])),"",(Term3_Special_Day_1[[#This Row],[End]]-Term3_Special_Day_1[[#This Row],[Start]])*1440)</f>
        <v/>
      </c>
      <c r="F105" s="105" t="str">
        <f>IF(ISBLANK(Term3_Special_Day_1[[#This Row],[Activity]]),"",IF(_xlfn.XLOOKUP(Term3_Special_Day_1[[#This Row],[Activity]],Types_of_Activity[Type of Activity],Types_of_Activity[Classification])=1,Term3_Special_Day_1[[#This Row],[Elapsed]],0))</f>
        <v/>
      </c>
      <c r="G105" s="105" t="str">
        <f>IF(ISBLANK(Term3_Special_Day_1[[#This Row],[Activity]]),"",IF(_xlfn.XLOOKUP(Term3_Special_Day_1[[#This Row],[Activity]],Types_of_Activity[Type of Activity],Types_of_Activity[Classification])=2,Term3_Special_Day_1[[#This Row],[Elapsed]],0))</f>
        <v/>
      </c>
      <c r="H105"/>
      <c r="I105" s="135"/>
      <c r="J105" s="135"/>
      <c r="K105" s="102"/>
      <c r="L105" s="105" t="str">
        <f>IF(OR(ISBLANK(Term3_Special_Day_2[[#This Row],[Start]]),ISBLANK(Term3_Special_Day_2[[#This Row],[End]])),"",(Term3_Special_Day_2[[#This Row],[End]]-Term3_Special_Day_2[[#This Row],[Start]])*1440)</f>
        <v/>
      </c>
      <c r="M105" s="105" t="str">
        <f>IF(ISBLANK(Term3_Special_Day_2[[#This Row],[Activity]]),"",IF(_xlfn.XLOOKUP(Term3_Special_Day_2[[#This Row],[Activity]],Types_of_Activity[Type of Activity],Types_of_Activity[Classification])=1,Term3_Special_Day_2[[#This Row],[Elapsed]],0))</f>
        <v/>
      </c>
      <c r="N105" s="105" t="str">
        <f>IF(ISBLANK(Term3_Special_Day_2[[#This Row],[Activity]]),"",IF(_xlfn.XLOOKUP(Term3_Special_Day_2[[#This Row],[Activity]],Types_of_Activity[Type of Activity],Types_of_Activity[Classification])=2,Term3_Special_Day_2[[#This Row],[Elapsed]],0))</f>
        <v/>
      </c>
      <c r="O105"/>
      <c r="P105" s="135"/>
      <c r="Q105" s="135"/>
      <c r="R105" s="102"/>
      <c r="S105" s="105" t="str">
        <f>IF(OR(ISBLANK(Term3_Special_Day_3[[#This Row],[Start]]),ISBLANK(Term3_Special_Day_3[[#This Row],[End]])),"",(Term3_Special_Day_3[[#This Row],[End]]-Term3_Special_Day_3[[#This Row],[Start]])*1440)</f>
        <v/>
      </c>
      <c r="T105" s="105" t="str">
        <f>IF(ISBLANK(Term3_Special_Day_3[[#This Row],[Activity]]),"",IF(_xlfn.XLOOKUP(Term3_Special_Day_3[[#This Row],[Activity]],Types_of_Activity[Type of Activity],Types_of_Activity[Classification])=1,Term3_Special_Day_3[[#This Row],[Elapsed]],0))</f>
        <v/>
      </c>
      <c r="U105" s="105" t="str">
        <f>IF(ISBLANK(Term3_Special_Day_3[[#This Row],[Activity]]),"",IF(_xlfn.XLOOKUP(Term3_Special_Day_3[[#This Row],[Activity]],Types_of_Activity[Type of Activity],Types_of_Activity[Classification])=2,Term3_Special_Day_3[[#This Row],[Elapsed]],0))</f>
        <v/>
      </c>
    </row>
    <row r="106" spans="2:21" x14ac:dyDescent="0.3">
      <c r="B106" s="135"/>
      <c r="C106" s="135"/>
      <c r="D106" s="102"/>
      <c r="E106" s="105" t="str">
        <f>IF(OR(ISBLANK(Term3_Special_Day_1[[#This Row],[Start]]),ISBLANK(Term3_Special_Day_1[[#This Row],[End]])),"",(Term3_Special_Day_1[[#This Row],[End]]-Term3_Special_Day_1[[#This Row],[Start]])*1440)</f>
        <v/>
      </c>
      <c r="F106" s="105" t="str">
        <f>IF(ISBLANK(Term3_Special_Day_1[[#This Row],[Activity]]),"",IF(_xlfn.XLOOKUP(Term3_Special_Day_1[[#This Row],[Activity]],Types_of_Activity[Type of Activity],Types_of_Activity[Classification])=1,Term3_Special_Day_1[[#This Row],[Elapsed]],0))</f>
        <v/>
      </c>
      <c r="G106" s="105" t="str">
        <f>IF(ISBLANK(Term3_Special_Day_1[[#This Row],[Activity]]),"",IF(_xlfn.XLOOKUP(Term3_Special_Day_1[[#This Row],[Activity]],Types_of_Activity[Type of Activity],Types_of_Activity[Classification])=2,Term3_Special_Day_1[[#This Row],[Elapsed]],0))</f>
        <v/>
      </c>
      <c r="H106"/>
      <c r="I106" s="135"/>
      <c r="J106" s="135"/>
      <c r="K106" s="102"/>
      <c r="L106" s="105" t="str">
        <f>IF(OR(ISBLANK(Term3_Special_Day_2[[#This Row],[Start]]),ISBLANK(Term3_Special_Day_2[[#This Row],[End]])),"",(Term3_Special_Day_2[[#This Row],[End]]-Term3_Special_Day_2[[#This Row],[Start]])*1440)</f>
        <v/>
      </c>
      <c r="M106" s="105" t="str">
        <f>IF(ISBLANK(Term3_Special_Day_2[[#This Row],[Activity]]),"",IF(_xlfn.XLOOKUP(Term3_Special_Day_2[[#This Row],[Activity]],Types_of_Activity[Type of Activity],Types_of_Activity[Classification])=1,Term3_Special_Day_2[[#This Row],[Elapsed]],0))</f>
        <v/>
      </c>
      <c r="N106" s="105" t="str">
        <f>IF(ISBLANK(Term3_Special_Day_2[[#This Row],[Activity]]),"",IF(_xlfn.XLOOKUP(Term3_Special_Day_2[[#This Row],[Activity]],Types_of_Activity[Type of Activity],Types_of_Activity[Classification])=2,Term3_Special_Day_2[[#This Row],[Elapsed]],0))</f>
        <v/>
      </c>
      <c r="O106"/>
      <c r="P106" s="135"/>
      <c r="Q106" s="135"/>
      <c r="R106" s="102"/>
      <c r="S106" s="105" t="str">
        <f>IF(OR(ISBLANK(Term3_Special_Day_3[[#This Row],[Start]]),ISBLANK(Term3_Special_Day_3[[#This Row],[End]])),"",(Term3_Special_Day_3[[#This Row],[End]]-Term3_Special_Day_3[[#This Row],[Start]])*1440)</f>
        <v/>
      </c>
      <c r="T106" s="105" t="str">
        <f>IF(ISBLANK(Term3_Special_Day_3[[#This Row],[Activity]]),"",IF(_xlfn.XLOOKUP(Term3_Special_Day_3[[#This Row],[Activity]],Types_of_Activity[Type of Activity],Types_of_Activity[Classification])=1,Term3_Special_Day_3[[#This Row],[Elapsed]],0))</f>
        <v/>
      </c>
      <c r="U106" s="105" t="str">
        <f>IF(ISBLANK(Term3_Special_Day_3[[#This Row],[Activity]]),"",IF(_xlfn.XLOOKUP(Term3_Special_Day_3[[#This Row],[Activity]],Types_of_Activity[Type of Activity],Types_of_Activity[Classification])=2,Term3_Special_Day_3[[#This Row],[Elapsed]],0))</f>
        <v/>
      </c>
    </row>
    <row r="107" spans="2:21" x14ac:dyDescent="0.3">
      <c r="B107" s="135"/>
      <c r="C107" s="135"/>
      <c r="D107" s="102"/>
      <c r="E107" s="105" t="str">
        <f>IF(OR(ISBLANK(Term3_Special_Day_1[[#This Row],[Start]]),ISBLANK(Term3_Special_Day_1[[#This Row],[End]])),"",(Term3_Special_Day_1[[#This Row],[End]]-Term3_Special_Day_1[[#This Row],[Start]])*1440)</f>
        <v/>
      </c>
      <c r="F107" s="105" t="str">
        <f>IF(ISBLANK(Term3_Special_Day_1[[#This Row],[Activity]]),"",IF(_xlfn.XLOOKUP(Term3_Special_Day_1[[#This Row],[Activity]],Types_of_Activity[Type of Activity],Types_of_Activity[Classification])=1,Term3_Special_Day_1[[#This Row],[Elapsed]],0))</f>
        <v/>
      </c>
      <c r="G107" s="105" t="str">
        <f>IF(ISBLANK(Term3_Special_Day_1[[#This Row],[Activity]]),"",IF(_xlfn.XLOOKUP(Term3_Special_Day_1[[#This Row],[Activity]],Types_of_Activity[Type of Activity],Types_of_Activity[Classification])=2,Term3_Special_Day_1[[#This Row],[Elapsed]],0))</f>
        <v/>
      </c>
      <c r="H107"/>
      <c r="I107" s="135"/>
      <c r="J107" s="135"/>
      <c r="K107" s="102"/>
      <c r="L107" s="105" t="str">
        <f>IF(OR(ISBLANK(Term3_Special_Day_2[[#This Row],[Start]]),ISBLANK(Term3_Special_Day_2[[#This Row],[End]])),"",(Term3_Special_Day_2[[#This Row],[End]]-Term3_Special_Day_2[[#This Row],[Start]])*1440)</f>
        <v/>
      </c>
      <c r="M107" s="105" t="str">
        <f>IF(ISBLANK(Term3_Special_Day_2[[#This Row],[Activity]]),"",IF(_xlfn.XLOOKUP(Term3_Special_Day_2[[#This Row],[Activity]],Types_of_Activity[Type of Activity],Types_of_Activity[Classification])=1,Term3_Special_Day_2[[#This Row],[Elapsed]],0))</f>
        <v/>
      </c>
      <c r="N107" s="105" t="str">
        <f>IF(ISBLANK(Term3_Special_Day_2[[#This Row],[Activity]]),"",IF(_xlfn.XLOOKUP(Term3_Special_Day_2[[#This Row],[Activity]],Types_of_Activity[Type of Activity],Types_of_Activity[Classification])=2,Term3_Special_Day_2[[#This Row],[Elapsed]],0))</f>
        <v/>
      </c>
      <c r="O107"/>
      <c r="P107" s="135"/>
      <c r="Q107" s="135"/>
      <c r="R107" s="102"/>
      <c r="S107" s="105" t="str">
        <f>IF(OR(ISBLANK(Term3_Special_Day_3[[#This Row],[Start]]),ISBLANK(Term3_Special_Day_3[[#This Row],[End]])),"",(Term3_Special_Day_3[[#This Row],[End]]-Term3_Special_Day_3[[#This Row],[Start]])*1440)</f>
        <v/>
      </c>
      <c r="T107" s="105" t="str">
        <f>IF(ISBLANK(Term3_Special_Day_3[[#This Row],[Activity]]),"",IF(_xlfn.XLOOKUP(Term3_Special_Day_3[[#This Row],[Activity]],Types_of_Activity[Type of Activity],Types_of_Activity[Classification])=1,Term3_Special_Day_3[[#This Row],[Elapsed]],0))</f>
        <v/>
      </c>
      <c r="U107" s="105" t="str">
        <f>IF(ISBLANK(Term3_Special_Day_3[[#This Row],[Activity]]),"",IF(_xlfn.XLOOKUP(Term3_Special_Day_3[[#This Row],[Activity]],Types_of_Activity[Type of Activity],Types_of_Activity[Classification])=2,Term3_Special_Day_3[[#This Row],[Elapsed]],0))</f>
        <v/>
      </c>
    </row>
    <row r="108" spans="2:21" x14ac:dyDescent="0.3">
      <c r="B108" s="135"/>
      <c r="C108" s="135"/>
      <c r="D108" s="102"/>
      <c r="E108" s="105" t="str">
        <f>IF(OR(ISBLANK(Term3_Special_Day_1[[#This Row],[Start]]),ISBLANK(Term3_Special_Day_1[[#This Row],[End]])),"",(Term3_Special_Day_1[[#This Row],[End]]-Term3_Special_Day_1[[#This Row],[Start]])*1440)</f>
        <v/>
      </c>
      <c r="F108" s="105" t="str">
        <f>IF(ISBLANK(Term3_Special_Day_1[[#This Row],[Activity]]),"",IF(_xlfn.XLOOKUP(Term3_Special_Day_1[[#This Row],[Activity]],Types_of_Activity[Type of Activity],Types_of_Activity[Classification])=1,Term3_Special_Day_1[[#This Row],[Elapsed]],0))</f>
        <v/>
      </c>
      <c r="G108" s="105" t="str">
        <f>IF(ISBLANK(Term3_Special_Day_1[[#This Row],[Activity]]),"",IF(_xlfn.XLOOKUP(Term3_Special_Day_1[[#This Row],[Activity]],Types_of_Activity[Type of Activity],Types_of_Activity[Classification])=2,Term3_Special_Day_1[[#This Row],[Elapsed]],0))</f>
        <v/>
      </c>
      <c r="H108"/>
      <c r="I108" s="135"/>
      <c r="J108" s="135"/>
      <c r="K108" s="102"/>
      <c r="L108" s="105" t="str">
        <f>IF(OR(ISBLANK(Term3_Special_Day_2[[#This Row],[Start]]),ISBLANK(Term3_Special_Day_2[[#This Row],[End]])),"",(Term3_Special_Day_2[[#This Row],[End]]-Term3_Special_Day_2[[#This Row],[Start]])*1440)</f>
        <v/>
      </c>
      <c r="M108" s="105" t="str">
        <f>IF(ISBLANK(Term3_Special_Day_2[[#This Row],[Activity]]),"",IF(_xlfn.XLOOKUP(Term3_Special_Day_2[[#This Row],[Activity]],Types_of_Activity[Type of Activity],Types_of_Activity[Classification])=1,Term3_Special_Day_2[[#This Row],[Elapsed]],0))</f>
        <v/>
      </c>
      <c r="N108" s="105" t="str">
        <f>IF(ISBLANK(Term3_Special_Day_2[[#This Row],[Activity]]),"",IF(_xlfn.XLOOKUP(Term3_Special_Day_2[[#This Row],[Activity]],Types_of_Activity[Type of Activity],Types_of_Activity[Classification])=2,Term3_Special_Day_2[[#This Row],[Elapsed]],0))</f>
        <v/>
      </c>
      <c r="O108"/>
      <c r="P108" s="135"/>
      <c r="Q108" s="135"/>
      <c r="R108" s="102"/>
      <c r="S108" s="105" t="str">
        <f>IF(OR(ISBLANK(Term3_Special_Day_3[[#This Row],[Start]]),ISBLANK(Term3_Special_Day_3[[#This Row],[End]])),"",(Term3_Special_Day_3[[#This Row],[End]]-Term3_Special_Day_3[[#This Row],[Start]])*1440)</f>
        <v/>
      </c>
      <c r="T108" s="105" t="str">
        <f>IF(ISBLANK(Term3_Special_Day_3[[#This Row],[Activity]]),"",IF(_xlfn.XLOOKUP(Term3_Special_Day_3[[#This Row],[Activity]],Types_of_Activity[Type of Activity],Types_of_Activity[Classification])=1,Term3_Special_Day_3[[#This Row],[Elapsed]],0))</f>
        <v/>
      </c>
      <c r="U108" s="105" t="str">
        <f>IF(ISBLANK(Term3_Special_Day_3[[#This Row],[Activity]]),"",IF(_xlfn.XLOOKUP(Term3_Special_Day_3[[#This Row],[Activity]],Types_of_Activity[Type of Activity],Types_of_Activity[Classification])=2,Term3_Special_Day_3[[#This Row],[Elapsed]],0))</f>
        <v/>
      </c>
    </row>
    <row r="109" spans="2:21" x14ac:dyDescent="0.3">
      <c r="B109" s="135"/>
      <c r="C109" s="135"/>
      <c r="D109" s="102"/>
      <c r="E109" s="105" t="str">
        <f>IF(OR(ISBLANK(Term3_Special_Day_1[[#This Row],[Start]]),ISBLANK(Term3_Special_Day_1[[#This Row],[End]])),"",(Term3_Special_Day_1[[#This Row],[End]]-Term3_Special_Day_1[[#This Row],[Start]])*1440)</f>
        <v/>
      </c>
      <c r="F109" s="105" t="str">
        <f>IF(ISBLANK(Term3_Special_Day_1[[#This Row],[Activity]]),"",IF(_xlfn.XLOOKUP(Term3_Special_Day_1[[#This Row],[Activity]],Types_of_Activity[Type of Activity],Types_of_Activity[Classification])=1,Term3_Special_Day_1[[#This Row],[Elapsed]],0))</f>
        <v/>
      </c>
      <c r="G109" s="105" t="str">
        <f>IF(ISBLANK(Term3_Special_Day_1[[#This Row],[Activity]]),"",IF(_xlfn.XLOOKUP(Term3_Special_Day_1[[#This Row],[Activity]],Types_of_Activity[Type of Activity],Types_of_Activity[Classification])=2,Term3_Special_Day_1[[#This Row],[Elapsed]],0))</f>
        <v/>
      </c>
      <c r="H109"/>
      <c r="I109" s="135"/>
      <c r="J109" s="135"/>
      <c r="K109" s="102"/>
      <c r="L109" s="105" t="str">
        <f>IF(OR(ISBLANK(Term3_Special_Day_2[[#This Row],[Start]]),ISBLANK(Term3_Special_Day_2[[#This Row],[End]])),"",(Term3_Special_Day_2[[#This Row],[End]]-Term3_Special_Day_2[[#This Row],[Start]])*1440)</f>
        <v/>
      </c>
      <c r="M109" s="105" t="str">
        <f>IF(ISBLANK(Term3_Special_Day_2[[#This Row],[Activity]]),"",IF(_xlfn.XLOOKUP(Term3_Special_Day_2[[#This Row],[Activity]],Types_of_Activity[Type of Activity],Types_of_Activity[Classification])=1,Term3_Special_Day_2[[#This Row],[Elapsed]],0))</f>
        <v/>
      </c>
      <c r="N109" s="105" t="str">
        <f>IF(ISBLANK(Term3_Special_Day_2[[#This Row],[Activity]]),"",IF(_xlfn.XLOOKUP(Term3_Special_Day_2[[#This Row],[Activity]],Types_of_Activity[Type of Activity],Types_of_Activity[Classification])=2,Term3_Special_Day_2[[#This Row],[Elapsed]],0))</f>
        <v/>
      </c>
      <c r="O109"/>
      <c r="P109" s="135"/>
      <c r="Q109" s="135"/>
      <c r="R109" s="102"/>
      <c r="S109" s="105" t="str">
        <f>IF(OR(ISBLANK(Term3_Special_Day_3[[#This Row],[Start]]),ISBLANK(Term3_Special_Day_3[[#This Row],[End]])),"",(Term3_Special_Day_3[[#This Row],[End]]-Term3_Special_Day_3[[#This Row],[Start]])*1440)</f>
        <v/>
      </c>
      <c r="T109" s="105" t="str">
        <f>IF(ISBLANK(Term3_Special_Day_3[[#This Row],[Activity]]),"",IF(_xlfn.XLOOKUP(Term3_Special_Day_3[[#This Row],[Activity]],Types_of_Activity[Type of Activity],Types_of_Activity[Classification])=1,Term3_Special_Day_3[[#This Row],[Elapsed]],0))</f>
        <v/>
      </c>
      <c r="U109" s="105" t="str">
        <f>IF(ISBLANK(Term3_Special_Day_3[[#This Row],[Activity]]),"",IF(_xlfn.XLOOKUP(Term3_Special_Day_3[[#This Row],[Activity]],Types_of_Activity[Type of Activity],Types_of_Activity[Classification])=2,Term3_Special_Day_3[[#This Row],[Elapsed]],0))</f>
        <v/>
      </c>
    </row>
    <row r="110" spans="2:21" x14ac:dyDescent="0.3">
      <c r="B110" s="135"/>
      <c r="C110" s="135"/>
      <c r="D110" s="102"/>
      <c r="E110" s="105" t="str">
        <f>IF(OR(ISBLANK(Term3_Special_Day_1[[#This Row],[Start]]),ISBLANK(Term3_Special_Day_1[[#This Row],[End]])),"",(Term3_Special_Day_1[[#This Row],[End]]-Term3_Special_Day_1[[#This Row],[Start]])*1440)</f>
        <v/>
      </c>
      <c r="F110" s="105" t="str">
        <f>IF(ISBLANK(Term3_Special_Day_1[[#This Row],[Activity]]),"",IF(_xlfn.XLOOKUP(Term3_Special_Day_1[[#This Row],[Activity]],Types_of_Activity[Type of Activity],Types_of_Activity[Classification])=1,Term3_Special_Day_1[[#This Row],[Elapsed]],0))</f>
        <v/>
      </c>
      <c r="G110" s="105" t="str">
        <f>IF(ISBLANK(Term3_Special_Day_1[[#This Row],[Activity]]),"",IF(_xlfn.XLOOKUP(Term3_Special_Day_1[[#This Row],[Activity]],Types_of_Activity[Type of Activity],Types_of_Activity[Classification])=2,Term3_Special_Day_1[[#This Row],[Elapsed]],0))</f>
        <v/>
      </c>
      <c r="H110"/>
      <c r="I110" s="135"/>
      <c r="J110" s="135"/>
      <c r="K110" s="102"/>
      <c r="L110" s="105" t="str">
        <f>IF(OR(ISBLANK(Term3_Special_Day_2[[#This Row],[Start]]),ISBLANK(Term3_Special_Day_2[[#This Row],[End]])),"",(Term3_Special_Day_2[[#This Row],[End]]-Term3_Special_Day_2[[#This Row],[Start]])*1440)</f>
        <v/>
      </c>
      <c r="M110" s="105" t="str">
        <f>IF(ISBLANK(Term3_Special_Day_2[[#This Row],[Activity]]),"",IF(_xlfn.XLOOKUP(Term3_Special_Day_2[[#This Row],[Activity]],Types_of_Activity[Type of Activity],Types_of_Activity[Classification])=1,Term3_Special_Day_2[[#This Row],[Elapsed]],0))</f>
        <v/>
      </c>
      <c r="N110" s="105" t="str">
        <f>IF(ISBLANK(Term3_Special_Day_2[[#This Row],[Activity]]),"",IF(_xlfn.XLOOKUP(Term3_Special_Day_2[[#This Row],[Activity]],Types_of_Activity[Type of Activity],Types_of_Activity[Classification])=2,Term3_Special_Day_2[[#This Row],[Elapsed]],0))</f>
        <v/>
      </c>
      <c r="O110"/>
      <c r="P110" s="135"/>
      <c r="Q110" s="135"/>
      <c r="R110" s="102"/>
      <c r="S110" s="105" t="str">
        <f>IF(OR(ISBLANK(Term3_Special_Day_3[[#This Row],[Start]]),ISBLANK(Term3_Special_Day_3[[#This Row],[End]])),"",(Term3_Special_Day_3[[#This Row],[End]]-Term3_Special_Day_3[[#This Row],[Start]])*1440)</f>
        <v/>
      </c>
      <c r="T110" s="105" t="str">
        <f>IF(ISBLANK(Term3_Special_Day_3[[#This Row],[Activity]]),"",IF(_xlfn.XLOOKUP(Term3_Special_Day_3[[#This Row],[Activity]],Types_of_Activity[Type of Activity],Types_of_Activity[Classification])=1,Term3_Special_Day_3[[#This Row],[Elapsed]],0))</f>
        <v/>
      </c>
      <c r="U110" s="105" t="str">
        <f>IF(ISBLANK(Term3_Special_Day_3[[#This Row],[Activity]]),"",IF(_xlfn.XLOOKUP(Term3_Special_Day_3[[#This Row],[Activity]],Types_of_Activity[Type of Activity],Types_of_Activity[Classification])=2,Term3_Special_Day_3[[#This Row],[Elapsed]],0))</f>
        <v/>
      </c>
    </row>
    <row r="111" spans="2:21" x14ac:dyDescent="0.3">
      <c r="B111" s="135"/>
      <c r="C111" s="135"/>
      <c r="D111" s="102"/>
      <c r="E111" s="105" t="str">
        <f>IF(OR(ISBLANK(Term3_Special_Day_1[[#This Row],[Start]]),ISBLANK(Term3_Special_Day_1[[#This Row],[End]])),"",(Term3_Special_Day_1[[#This Row],[End]]-Term3_Special_Day_1[[#This Row],[Start]])*1440)</f>
        <v/>
      </c>
      <c r="F111" s="105" t="str">
        <f>IF(ISBLANK(Term3_Special_Day_1[[#This Row],[Activity]]),"",IF(_xlfn.XLOOKUP(Term3_Special_Day_1[[#This Row],[Activity]],Types_of_Activity[Type of Activity],Types_of_Activity[Classification])=1,Term3_Special_Day_1[[#This Row],[Elapsed]],0))</f>
        <v/>
      </c>
      <c r="G111" s="105" t="str">
        <f>IF(ISBLANK(Term3_Special_Day_1[[#This Row],[Activity]]),"",IF(_xlfn.XLOOKUP(Term3_Special_Day_1[[#This Row],[Activity]],Types_of_Activity[Type of Activity],Types_of_Activity[Classification])=2,Term3_Special_Day_1[[#This Row],[Elapsed]],0))</f>
        <v/>
      </c>
      <c r="H111"/>
      <c r="I111" s="135"/>
      <c r="J111" s="135"/>
      <c r="K111" s="102"/>
      <c r="L111" s="105" t="str">
        <f>IF(OR(ISBLANK(Term3_Special_Day_2[[#This Row],[Start]]),ISBLANK(Term3_Special_Day_2[[#This Row],[End]])),"",(Term3_Special_Day_2[[#This Row],[End]]-Term3_Special_Day_2[[#This Row],[Start]])*1440)</f>
        <v/>
      </c>
      <c r="M111" s="105" t="str">
        <f>IF(ISBLANK(Term3_Special_Day_2[[#This Row],[Activity]]),"",IF(_xlfn.XLOOKUP(Term3_Special_Day_2[[#This Row],[Activity]],Types_of_Activity[Type of Activity],Types_of_Activity[Classification])=1,Term3_Special_Day_2[[#This Row],[Elapsed]],0))</f>
        <v/>
      </c>
      <c r="N111" s="105" t="str">
        <f>IF(ISBLANK(Term3_Special_Day_2[[#This Row],[Activity]]),"",IF(_xlfn.XLOOKUP(Term3_Special_Day_2[[#This Row],[Activity]],Types_of_Activity[Type of Activity],Types_of_Activity[Classification])=2,Term3_Special_Day_2[[#This Row],[Elapsed]],0))</f>
        <v/>
      </c>
      <c r="O111"/>
      <c r="P111" s="135"/>
      <c r="Q111" s="135"/>
      <c r="R111" s="102"/>
      <c r="S111" s="105" t="str">
        <f>IF(OR(ISBLANK(Term3_Special_Day_3[[#This Row],[Start]]),ISBLANK(Term3_Special_Day_3[[#This Row],[End]])),"",(Term3_Special_Day_3[[#This Row],[End]]-Term3_Special_Day_3[[#This Row],[Start]])*1440)</f>
        <v/>
      </c>
      <c r="T111" s="105" t="str">
        <f>IF(ISBLANK(Term3_Special_Day_3[[#This Row],[Activity]]),"",IF(_xlfn.XLOOKUP(Term3_Special_Day_3[[#This Row],[Activity]],Types_of_Activity[Type of Activity],Types_of_Activity[Classification])=1,Term3_Special_Day_3[[#This Row],[Elapsed]],0))</f>
        <v/>
      </c>
      <c r="U111" s="105" t="str">
        <f>IF(ISBLANK(Term3_Special_Day_3[[#This Row],[Activity]]),"",IF(_xlfn.XLOOKUP(Term3_Special_Day_3[[#This Row],[Activity]],Types_of_Activity[Type of Activity],Types_of_Activity[Classification])=2,Term3_Special_Day_3[[#This Row],[Elapsed]],0))</f>
        <v/>
      </c>
    </row>
    <row r="112" spans="2:21" x14ac:dyDescent="0.3">
      <c r="B112" s="135"/>
      <c r="C112" s="135"/>
      <c r="D112" s="102"/>
      <c r="E112" s="105" t="str">
        <f>IF(OR(ISBLANK(Term3_Special_Day_1[[#This Row],[Start]]),ISBLANK(Term3_Special_Day_1[[#This Row],[End]])),"",(Term3_Special_Day_1[[#This Row],[End]]-Term3_Special_Day_1[[#This Row],[Start]])*1440)</f>
        <v/>
      </c>
      <c r="F112" s="105" t="str">
        <f>IF(ISBLANK(Term3_Special_Day_1[[#This Row],[Activity]]),"",IF(_xlfn.XLOOKUP(Term3_Special_Day_1[[#This Row],[Activity]],Types_of_Activity[Type of Activity],Types_of_Activity[Classification])=1,Term3_Special_Day_1[[#This Row],[Elapsed]],0))</f>
        <v/>
      </c>
      <c r="G112" s="105" t="str">
        <f>IF(ISBLANK(Term3_Special_Day_1[[#This Row],[Activity]]),"",IF(_xlfn.XLOOKUP(Term3_Special_Day_1[[#This Row],[Activity]],Types_of_Activity[Type of Activity],Types_of_Activity[Classification])=2,Term3_Special_Day_1[[#This Row],[Elapsed]],0))</f>
        <v/>
      </c>
      <c r="H112"/>
      <c r="I112" s="135"/>
      <c r="J112" s="135"/>
      <c r="K112" s="102"/>
      <c r="L112" s="105" t="str">
        <f>IF(OR(ISBLANK(Term3_Special_Day_2[[#This Row],[Start]]),ISBLANK(Term3_Special_Day_2[[#This Row],[End]])),"",(Term3_Special_Day_2[[#This Row],[End]]-Term3_Special_Day_2[[#This Row],[Start]])*1440)</f>
        <v/>
      </c>
      <c r="M112" s="105" t="str">
        <f>IF(ISBLANK(Term3_Special_Day_2[[#This Row],[Activity]]),"",IF(_xlfn.XLOOKUP(Term3_Special_Day_2[[#This Row],[Activity]],Types_of_Activity[Type of Activity],Types_of_Activity[Classification])=1,Term3_Special_Day_2[[#This Row],[Elapsed]],0))</f>
        <v/>
      </c>
      <c r="N112" s="105" t="str">
        <f>IF(ISBLANK(Term3_Special_Day_2[[#This Row],[Activity]]),"",IF(_xlfn.XLOOKUP(Term3_Special_Day_2[[#This Row],[Activity]],Types_of_Activity[Type of Activity],Types_of_Activity[Classification])=2,Term3_Special_Day_2[[#This Row],[Elapsed]],0))</f>
        <v/>
      </c>
      <c r="O112"/>
      <c r="P112" s="135"/>
      <c r="Q112" s="135"/>
      <c r="R112" s="102"/>
      <c r="S112" s="105" t="str">
        <f>IF(OR(ISBLANK(Term3_Special_Day_3[[#This Row],[Start]]),ISBLANK(Term3_Special_Day_3[[#This Row],[End]])),"",(Term3_Special_Day_3[[#This Row],[End]]-Term3_Special_Day_3[[#This Row],[Start]])*1440)</f>
        <v/>
      </c>
      <c r="T112" s="105" t="str">
        <f>IF(ISBLANK(Term3_Special_Day_3[[#This Row],[Activity]]),"",IF(_xlfn.XLOOKUP(Term3_Special_Day_3[[#This Row],[Activity]],Types_of_Activity[Type of Activity],Types_of_Activity[Classification])=1,Term3_Special_Day_3[[#This Row],[Elapsed]],0))</f>
        <v/>
      </c>
      <c r="U112" s="105" t="str">
        <f>IF(ISBLANK(Term3_Special_Day_3[[#This Row],[Activity]]),"",IF(_xlfn.XLOOKUP(Term3_Special_Day_3[[#This Row],[Activity]],Types_of_Activity[Type of Activity],Types_of_Activity[Classification])=2,Term3_Special_Day_3[[#This Row],[Elapsed]],0))</f>
        <v/>
      </c>
    </row>
    <row r="113" spans="2:21" x14ac:dyDescent="0.3">
      <c r="B113" s="135"/>
      <c r="C113" s="135"/>
      <c r="D113" s="102"/>
      <c r="E113" s="105" t="str">
        <f>IF(OR(ISBLANK(Term3_Special_Day_1[[#This Row],[Start]]),ISBLANK(Term3_Special_Day_1[[#This Row],[End]])),"",(Term3_Special_Day_1[[#This Row],[End]]-Term3_Special_Day_1[[#This Row],[Start]])*1440)</f>
        <v/>
      </c>
      <c r="F113" s="105" t="str">
        <f>IF(ISBLANK(Term3_Special_Day_1[[#This Row],[Activity]]),"",IF(_xlfn.XLOOKUP(Term3_Special_Day_1[[#This Row],[Activity]],Types_of_Activity[Type of Activity],Types_of_Activity[Classification])=1,Term3_Special_Day_1[[#This Row],[Elapsed]],0))</f>
        <v/>
      </c>
      <c r="G113" s="105" t="str">
        <f>IF(ISBLANK(Term3_Special_Day_1[[#This Row],[Activity]]),"",IF(_xlfn.XLOOKUP(Term3_Special_Day_1[[#This Row],[Activity]],Types_of_Activity[Type of Activity],Types_of_Activity[Classification])=2,Term3_Special_Day_1[[#This Row],[Elapsed]],0))</f>
        <v/>
      </c>
      <c r="H113"/>
      <c r="I113" s="135"/>
      <c r="J113" s="135"/>
      <c r="K113" s="102"/>
      <c r="L113" s="105" t="str">
        <f>IF(OR(ISBLANK(Term3_Special_Day_2[[#This Row],[Start]]),ISBLANK(Term3_Special_Day_2[[#This Row],[End]])),"",(Term3_Special_Day_2[[#This Row],[End]]-Term3_Special_Day_2[[#This Row],[Start]])*1440)</f>
        <v/>
      </c>
      <c r="M113" s="105" t="str">
        <f>IF(ISBLANK(Term3_Special_Day_2[[#This Row],[Activity]]),"",IF(_xlfn.XLOOKUP(Term3_Special_Day_2[[#This Row],[Activity]],Types_of_Activity[Type of Activity],Types_of_Activity[Classification])=1,Term3_Special_Day_2[[#This Row],[Elapsed]],0))</f>
        <v/>
      </c>
      <c r="N113" s="105" t="str">
        <f>IF(ISBLANK(Term3_Special_Day_2[[#This Row],[Activity]]),"",IF(_xlfn.XLOOKUP(Term3_Special_Day_2[[#This Row],[Activity]],Types_of_Activity[Type of Activity],Types_of_Activity[Classification])=2,Term3_Special_Day_2[[#This Row],[Elapsed]],0))</f>
        <v/>
      </c>
      <c r="O113"/>
      <c r="P113" s="135"/>
      <c r="Q113" s="135"/>
      <c r="R113" s="102"/>
      <c r="S113" s="105" t="str">
        <f>IF(OR(ISBLANK(Term3_Special_Day_3[[#This Row],[Start]]),ISBLANK(Term3_Special_Day_3[[#This Row],[End]])),"",(Term3_Special_Day_3[[#This Row],[End]]-Term3_Special_Day_3[[#This Row],[Start]])*1440)</f>
        <v/>
      </c>
      <c r="T113" s="105" t="str">
        <f>IF(ISBLANK(Term3_Special_Day_3[[#This Row],[Activity]]),"",IF(_xlfn.XLOOKUP(Term3_Special_Day_3[[#This Row],[Activity]],Types_of_Activity[Type of Activity],Types_of_Activity[Classification])=1,Term3_Special_Day_3[[#This Row],[Elapsed]],0))</f>
        <v/>
      </c>
      <c r="U113" s="105" t="str">
        <f>IF(ISBLANK(Term3_Special_Day_3[[#This Row],[Activity]]),"",IF(_xlfn.XLOOKUP(Term3_Special_Day_3[[#This Row],[Activity]],Types_of_Activity[Type of Activity],Types_of_Activity[Classification])=2,Term3_Special_Day_3[[#This Row],[Elapsed]],0))</f>
        <v/>
      </c>
    </row>
    <row r="114" spans="2:21" x14ac:dyDescent="0.3">
      <c r="B114" s="135"/>
      <c r="C114" s="135"/>
      <c r="D114" s="102"/>
      <c r="E114" s="105" t="str">
        <f>IF(OR(ISBLANK(Term3_Special_Day_1[[#This Row],[Start]]),ISBLANK(Term3_Special_Day_1[[#This Row],[End]])),"",(Term3_Special_Day_1[[#This Row],[End]]-Term3_Special_Day_1[[#This Row],[Start]])*1440)</f>
        <v/>
      </c>
      <c r="F114" s="105" t="str">
        <f>IF(ISBLANK(Term3_Special_Day_1[[#This Row],[Activity]]),"",IF(_xlfn.XLOOKUP(Term3_Special_Day_1[[#This Row],[Activity]],Types_of_Activity[Type of Activity],Types_of_Activity[Classification])=1,Term3_Special_Day_1[[#This Row],[Elapsed]],0))</f>
        <v/>
      </c>
      <c r="G114" s="105" t="str">
        <f>IF(ISBLANK(Term3_Special_Day_1[[#This Row],[Activity]]),"",IF(_xlfn.XLOOKUP(Term3_Special_Day_1[[#This Row],[Activity]],Types_of_Activity[Type of Activity],Types_of_Activity[Classification])=2,Term3_Special_Day_1[[#This Row],[Elapsed]],0))</f>
        <v/>
      </c>
      <c r="H114"/>
      <c r="I114" s="135"/>
      <c r="J114" s="135"/>
      <c r="K114" s="102"/>
      <c r="L114" s="105" t="str">
        <f>IF(OR(ISBLANK(Term3_Special_Day_2[[#This Row],[Start]]),ISBLANK(Term3_Special_Day_2[[#This Row],[End]])),"",(Term3_Special_Day_2[[#This Row],[End]]-Term3_Special_Day_2[[#This Row],[Start]])*1440)</f>
        <v/>
      </c>
      <c r="M114" s="105" t="str">
        <f>IF(ISBLANK(Term3_Special_Day_2[[#This Row],[Activity]]),"",IF(_xlfn.XLOOKUP(Term3_Special_Day_2[[#This Row],[Activity]],Types_of_Activity[Type of Activity],Types_of_Activity[Classification])=1,Term3_Special_Day_2[[#This Row],[Elapsed]],0))</f>
        <v/>
      </c>
      <c r="N114" s="105" t="str">
        <f>IF(ISBLANK(Term3_Special_Day_2[[#This Row],[Activity]]),"",IF(_xlfn.XLOOKUP(Term3_Special_Day_2[[#This Row],[Activity]],Types_of_Activity[Type of Activity],Types_of_Activity[Classification])=2,Term3_Special_Day_2[[#This Row],[Elapsed]],0))</f>
        <v/>
      </c>
      <c r="O114"/>
      <c r="P114" s="135"/>
      <c r="Q114" s="135"/>
      <c r="R114" s="102"/>
      <c r="S114" s="105" t="str">
        <f>IF(OR(ISBLANK(Term3_Special_Day_3[[#This Row],[Start]]),ISBLANK(Term3_Special_Day_3[[#This Row],[End]])),"",(Term3_Special_Day_3[[#This Row],[End]]-Term3_Special_Day_3[[#This Row],[Start]])*1440)</f>
        <v/>
      </c>
      <c r="T114" s="105" t="str">
        <f>IF(ISBLANK(Term3_Special_Day_3[[#This Row],[Activity]]),"",IF(_xlfn.XLOOKUP(Term3_Special_Day_3[[#This Row],[Activity]],Types_of_Activity[Type of Activity],Types_of_Activity[Classification])=1,Term3_Special_Day_3[[#This Row],[Elapsed]],0))</f>
        <v/>
      </c>
      <c r="U114" s="105" t="str">
        <f>IF(ISBLANK(Term3_Special_Day_3[[#This Row],[Activity]]),"",IF(_xlfn.XLOOKUP(Term3_Special_Day_3[[#This Row],[Activity]],Types_of_Activity[Type of Activity],Types_of_Activity[Classification])=2,Term3_Special_Day_3[[#This Row],[Elapsed]],0))</f>
        <v/>
      </c>
    </row>
    <row r="115" spans="2:21" x14ac:dyDescent="0.3">
      <c r="B115" s="135"/>
      <c r="C115" s="135"/>
      <c r="D115" s="102"/>
      <c r="E115" s="105" t="str">
        <f>IF(OR(ISBLANK(Term3_Special_Day_1[[#This Row],[Start]]),ISBLANK(Term3_Special_Day_1[[#This Row],[End]])),"",(Term3_Special_Day_1[[#This Row],[End]]-Term3_Special_Day_1[[#This Row],[Start]])*1440)</f>
        <v/>
      </c>
      <c r="F115" s="105" t="str">
        <f>IF(ISBLANK(Term3_Special_Day_1[[#This Row],[Activity]]),"",IF(_xlfn.XLOOKUP(Term3_Special_Day_1[[#This Row],[Activity]],Types_of_Activity[Type of Activity],Types_of_Activity[Classification])=1,Term3_Special_Day_1[[#This Row],[Elapsed]],0))</f>
        <v/>
      </c>
      <c r="G115" s="105" t="str">
        <f>IF(ISBLANK(Term3_Special_Day_1[[#This Row],[Activity]]),"",IF(_xlfn.XLOOKUP(Term3_Special_Day_1[[#This Row],[Activity]],Types_of_Activity[Type of Activity],Types_of_Activity[Classification])=2,Term3_Special_Day_1[[#This Row],[Elapsed]],0))</f>
        <v/>
      </c>
      <c r="H115"/>
      <c r="I115" s="135"/>
      <c r="J115" s="135"/>
      <c r="K115" s="102"/>
      <c r="L115" s="105" t="str">
        <f>IF(OR(ISBLANK(Term3_Special_Day_2[[#This Row],[Start]]),ISBLANK(Term3_Special_Day_2[[#This Row],[End]])),"",(Term3_Special_Day_2[[#This Row],[End]]-Term3_Special_Day_2[[#This Row],[Start]])*1440)</f>
        <v/>
      </c>
      <c r="M115" s="105" t="str">
        <f>IF(ISBLANK(Term3_Special_Day_2[[#This Row],[Activity]]),"",IF(_xlfn.XLOOKUP(Term3_Special_Day_2[[#This Row],[Activity]],Types_of_Activity[Type of Activity],Types_of_Activity[Classification])=1,Term3_Special_Day_2[[#This Row],[Elapsed]],0))</f>
        <v/>
      </c>
      <c r="N115" s="105" t="str">
        <f>IF(ISBLANK(Term3_Special_Day_2[[#This Row],[Activity]]),"",IF(_xlfn.XLOOKUP(Term3_Special_Day_2[[#This Row],[Activity]],Types_of_Activity[Type of Activity],Types_of_Activity[Classification])=2,Term3_Special_Day_2[[#This Row],[Elapsed]],0))</f>
        <v/>
      </c>
      <c r="O115"/>
      <c r="P115" s="135"/>
      <c r="Q115" s="135"/>
      <c r="R115" s="102"/>
      <c r="S115" s="105" t="str">
        <f>IF(OR(ISBLANK(Term3_Special_Day_3[[#This Row],[Start]]),ISBLANK(Term3_Special_Day_3[[#This Row],[End]])),"",(Term3_Special_Day_3[[#This Row],[End]]-Term3_Special_Day_3[[#This Row],[Start]])*1440)</f>
        <v/>
      </c>
      <c r="T115" s="105" t="str">
        <f>IF(ISBLANK(Term3_Special_Day_3[[#This Row],[Activity]]),"",IF(_xlfn.XLOOKUP(Term3_Special_Day_3[[#This Row],[Activity]],Types_of_Activity[Type of Activity],Types_of_Activity[Classification])=1,Term3_Special_Day_3[[#This Row],[Elapsed]],0))</f>
        <v/>
      </c>
      <c r="U115" s="105" t="str">
        <f>IF(ISBLANK(Term3_Special_Day_3[[#This Row],[Activity]]),"",IF(_xlfn.XLOOKUP(Term3_Special_Day_3[[#This Row],[Activity]],Types_of_Activity[Type of Activity],Types_of_Activity[Classification])=2,Term3_Special_Day_3[[#This Row],[Elapsed]],0))</f>
        <v/>
      </c>
    </row>
    <row r="116" spans="2:21" x14ac:dyDescent="0.3">
      <c r="B116" s="135"/>
      <c r="C116" s="135"/>
      <c r="D116" s="102"/>
      <c r="E116" s="105" t="str">
        <f>IF(OR(ISBLANK(Term3_Special_Day_1[[#This Row],[Start]]),ISBLANK(Term3_Special_Day_1[[#This Row],[End]])),"",(Term3_Special_Day_1[[#This Row],[End]]-Term3_Special_Day_1[[#This Row],[Start]])*1440)</f>
        <v/>
      </c>
      <c r="F116" s="105" t="str">
        <f>IF(ISBLANK(Term3_Special_Day_1[[#This Row],[Activity]]),"",IF(_xlfn.XLOOKUP(Term3_Special_Day_1[[#This Row],[Activity]],Types_of_Activity[Type of Activity],Types_of_Activity[Classification])=1,Term3_Special_Day_1[[#This Row],[Elapsed]],0))</f>
        <v/>
      </c>
      <c r="G116" s="105" t="str">
        <f>IF(ISBLANK(Term3_Special_Day_1[[#This Row],[Activity]]),"",IF(_xlfn.XLOOKUP(Term3_Special_Day_1[[#This Row],[Activity]],Types_of_Activity[Type of Activity],Types_of_Activity[Classification])=2,Term3_Special_Day_1[[#This Row],[Elapsed]],0))</f>
        <v/>
      </c>
      <c r="H116"/>
      <c r="I116" s="135"/>
      <c r="J116" s="135"/>
      <c r="K116" s="102"/>
      <c r="L116" s="105" t="str">
        <f>IF(OR(ISBLANK(Term3_Special_Day_2[[#This Row],[Start]]),ISBLANK(Term3_Special_Day_2[[#This Row],[End]])),"",(Term3_Special_Day_2[[#This Row],[End]]-Term3_Special_Day_2[[#This Row],[Start]])*1440)</f>
        <v/>
      </c>
      <c r="M116" s="105" t="str">
        <f>IF(ISBLANK(Term3_Special_Day_2[[#This Row],[Activity]]),"",IF(_xlfn.XLOOKUP(Term3_Special_Day_2[[#This Row],[Activity]],Types_of_Activity[Type of Activity],Types_of_Activity[Classification])=1,Term3_Special_Day_2[[#This Row],[Elapsed]],0))</f>
        <v/>
      </c>
      <c r="N116" s="105" t="str">
        <f>IF(ISBLANK(Term3_Special_Day_2[[#This Row],[Activity]]),"",IF(_xlfn.XLOOKUP(Term3_Special_Day_2[[#This Row],[Activity]],Types_of_Activity[Type of Activity],Types_of_Activity[Classification])=2,Term3_Special_Day_2[[#This Row],[Elapsed]],0))</f>
        <v/>
      </c>
      <c r="O116"/>
      <c r="P116" s="135"/>
      <c r="Q116" s="135"/>
      <c r="R116" s="102"/>
      <c r="S116" s="105" t="str">
        <f>IF(OR(ISBLANK(Term3_Special_Day_3[[#This Row],[Start]]),ISBLANK(Term3_Special_Day_3[[#This Row],[End]])),"",(Term3_Special_Day_3[[#This Row],[End]]-Term3_Special_Day_3[[#This Row],[Start]])*1440)</f>
        <v/>
      </c>
      <c r="T116" s="105" t="str">
        <f>IF(ISBLANK(Term3_Special_Day_3[[#This Row],[Activity]]),"",IF(_xlfn.XLOOKUP(Term3_Special_Day_3[[#This Row],[Activity]],Types_of_Activity[Type of Activity],Types_of_Activity[Classification])=1,Term3_Special_Day_3[[#This Row],[Elapsed]],0))</f>
        <v/>
      </c>
      <c r="U116" s="105" t="str">
        <f>IF(ISBLANK(Term3_Special_Day_3[[#This Row],[Activity]]),"",IF(_xlfn.XLOOKUP(Term3_Special_Day_3[[#This Row],[Activity]],Types_of_Activity[Type of Activity],Types_of_Activity[Classification])=2,Term3_Special_Day_3[[#This Row],[Elapsed]],0))</f>
        <v/>
      </c>
    </row>
    <row r="117" spans="2:21" x14ac:dyDescent="0.3">
      <c r="B117" s="135"/>
      <c r="C117" s="135"/>
      <c r="D117" s="102"/>
      <c r="E117" s="105" t="str">
        <f>IF(OR(ISBLANK(Term3_Special_Day_1[[#This Row],[Start]]),ISBLANK(Term3_Special_Day_1[[#This Row],[End]])),"",(Term3_Special_Day_1[[#This Row],[End]]-Term3_Special_Day_1[[#This Row],[Start]])*1440)</f>
        <v/>
      </c>
      <c r="F117" s="105" t="str">
        <f>IF(ISBLANK(Term3_Special_Day_1[[#This Row],[Activity]]),"",IF(_xlfn.XLOOKUP(Term3_Special_Day_1[[#This Row],[Activity]],Types_of_Activity[Type of Activity],Types_of_Activity[Classification])=1,Term3_Special_Day_1[[#This Row],[Elapsed]],0))</f>
        <v/>
      </c>
      <c r="G117" s="105" t="str">
        <f>IF(ISBLANK(Term3_Special_Day_1[[#This Row],[Activity]]),"",IF(_xlfn.XLOOKUP(Term3_Special_Day_1[[#This Row],[Activity]],Types_of_Activity[Type of Activity],Types_of_Activity[Classification])=2,Term3_Special_Day_1[[#This Row],[Elapsed]],0))</f>
        <v/>
      </c>
      <c r="H117"/>
      <c r="I117" s="135"/>
      <c r="J117" s="135"/>
      <c r="K117" s="102"/>
      <c r="L117" s="105" t="str">
        <f>IF(OR(ISBLANK(Term3_Special_Day_2[[#This Row],[Start]]),ISBLANK(Term3_Special_Day_2[[#This Row],[End]])),"",(Term3_Special_Day_2[[#This Row],[End]]-Term3_Special_Day_2[[#This Row],[Start]])*1440)</f>
        <v/>
      </c>
      <c r="M117" s="105" t="str">
        <f>IF(ISBLANK(Term3_Special_Day_2[[#This Row],[Activity]]),"",IF(_xlfn.XLOOKUP(Term3_Special_Day_2[[#This Row],[Activity]],Types_of_Activity[Type of Activity],Types_of_Activity[Classification])=1,Term3_Special_Day_2[[#This Row],[Elapsed]],0))</f>
        <v/>
      </c>
      <c r="N117" s="105" t="str">
        <f>IF(ISBLANK(Term3_Special_Day_2[[#This Row],[Activity]]),"",IF(_xlfn.XLOOKUP(Term3_Special_Day_2[[#This Row],[Activity]],Types_of_Activity[Type of Activity],Types_of_Activity[Classification])=2,Term3_Special_Day_2[[#This Row],[Elapsed]],0))</f>
        <v/>
      </c>
      <c r="O117"/>
      <c r="P117" s="135"/>
      <c r="Q117" s="135"/>
      <c r="R117" s="102"/>
      <c r="S117" s="105" t="str">
        <f>IF(OR(ISBLANK(Term3_Special_Day_3[[#This Row],[Start]]),ISBLANK(Term3_Special_Day_3[[#This Row],[End]])),"",(Term3_Special_Day_3[[#This Row],[End]]-Term3_Special_Day_3[[#This Row],[Start]])*1440)</f>
        <v/>
      </c>
      <c r="T117" s="105" t="str">
        <f>IF(ISBLANK(Term3_Special_Day_3[[#This Row],[Activity]]),"",IF(_xlfn.XLOOKUP(Term3_Special_Day_3[[#This Row],[Activity]],Types_of_Activity[Type of Activity],Types_of_Activity[Classification])=1,Term3_Special_Day_3[[#This Row],[Elapsed]],0))</f>
        <v/>
      </c>
      <c r="U117" s="105" t="str">
        <f>IF(ISBLANK(Term3_Special_Day_3[[#This Row],[Activity]]),"",IF(_xlfn.XLOOKUP(Term3_Special_Day_3[[#This Row],[Activity]],Types_of_Activity[Type of Activity],Types_of_Activity[Classification])=2,Term3_Special_Day_3[[#This Row],[Elapsed]],0))</f>
        <v/>
      </c>
    </row>
    <row r="118" spans="2:21" x14ac:dyDescent="0.3">
      <c r="B118" s="135"/>
      <c r="C118" s="135"/>
      <c r="D118" s="102"/>
      <c r="E118" s="105" t="str">
        <f>IF(OR(ISBLANK(Term3_Special_Day_1[[#This Row],[Start]]),ISBLANK(Term3_Special_Day_1[[#This Row],[End]])),"",(Term3_Special_Day_1[[#This Row],[End]]-Term3_Special_Day_1[[#This Row],[Start]])*1440)</f>
        <v/>
      </c>
      <c r="F118" s="105" t="str">
        <f>IF(ISBLANK(Term3_Special_Day_1[[#This Row],[Activity]]),"",IF(_xlfn.XLOOKUP(Term3_Special_Day_1[[#This Row],[Activity]],Types_of_Activity[Type of Activity],Types_of_Activity[Classification])=1,Term3_Special_Day_1[[#This Row],[Elapsed]],0))</f>
        <v/>
      </c>
      <c r="G118" s="105" t="str">
        <f>IF(ISBLANK(Term3_Special_Day_1[[#This Row],[Activity]]),"",IF(_xlfn.XLOOKUP(Term3_Special_Day_1[[#This Row],[Activity]],Types_of_Activity[Type of Activity],Types_of_Activity[Classification])=2,Term3_Special_Day_1[[#This Row],[Elapsed]],0))</f>
        <v/>
      </c>
      <c r="H118"/>
      <c r="I118" s="135"/>
      <c r="J118" s="135"/>
      <c r="K118" s="102"/>
      <c r="L118" s="105" t="str">
        <f>IF(OR(ISBLANK(Term3_Special_Day_2[[#This Row],[Start]]),ISBLANK(Term3_Special_Day_2[[#This Row],[End]])),"",(Term3_Special_Day_2[[#This Row],[End]]-Term3_Special_Day_2[[#This Row],[Start]])*1440)</f>
        <v/>
      </c>
      <c r="M118" s="105" t="str">
        <f>IF(ISBLANK(Term3_Special_Day_2[[#This Row],[Activity]]),"",IF(_xlfn.XLOOKUP(Term3_Special_Day_2[[#This Row],[Activity]],Types_of_Activity[Type of Activity],Types_of_Activity[Classification])=1,Term3_Special_Day_2[[#This Row],[Elapsed]],0))</f>
        <v/>
      </c>
      <c r="N118" s="105" t="str">
        <f>IF(ISBLANK(Term3_Special_Day_2[[#This Row],[Activity]]),"",IF(_xlfn.XLOOKUP(Term3_Special_Day_2[[#This Row],[Activity]],Types_of_Activity[Type of Activity],Types_of_Activity[Classification])=2,Term3_Special_Day_2[[#This Row],[Elapsed]],0))</f>
        <v/>
      </c>
      <c r="O118"/>
      <c r="P118" s="135"/>
      <c r="Q118" s="135"/>
      <c r="R118" s="102"/>
      <c r="S118" s="105" t="str">
        <f>IF(OR(ISBLANK(Term3_Special_Day_3[[#This Row],[Start]]),ISBLANK(Term3_Special_Day_3[[#This Row],[End]])),"",(Term3_Special_Day_3[[#This Row],[End]]-Term3_Special_Day_3[[#This Row],[Start]])*1440)</f>
        <v/>
      </c>
      <c r="T118" s="105" t="str">
        <f>IF(ISBLANK(Term3_Special_Day_3[[#This Row],[Activity]]),"",IF(_xlfn.XLOOKUP(Term3_Special_Day_3[[#This Row],[Activity]],Types_of_Activity[Type of Activity],Types_of_Activity[Classification])=1,Term3_Special_Day_3[[#This Row],[Elapsed]],0))</f>
        <v/>
      </c>
      <c r="U118" s="105" t="str">
        <f>IF(ISBLANK(Term3_Special_Day_3[[#This Row],[Activity]]),"",IF(_xlfn.XLOOKUP(Term3_Special_Day_3[[#This Row],[Activity]],Types_of_Activity[Type of Activity],Types_of_Activity[Classification])=2,Term3_Special_Day_3[[#This Row],[Elapsed]],0))</f>
        <v/>
      </c>
    </row>
    <row r="119" spans="2:21" x14ac:dyDescent="0.3">
      <c r="B119" s="135"/>
      <c r="C119" s="135"/>
      <c r="D119" s="102"/>
      <c r="E119" s="105" t="str">
        <f>IF(OR(ISBLANK(Term3_Special_Day_1[[#This Row],[Start]]),ISBLANK(Term3_Special_Day_1[[#This Row],[End]])),"",(Term3_Special_Day_1[[#This Row],[End]]-Term3_Special_Day_1[[#This Row],[Start]])*1440)</f>
        <v/>
      </c>
      <c r="F119" s="105" t="str">
        <f>IF(ISBLANK(Term3_Special_Day_1[[#This Row],[Activity]]),"",IF(_xlfn.XLOOKUP(Term3_Special_Day_1[[#This Row],[Activity]],Types_of_Activity[Type of Activity],Types_of_Activity[Classification])=1,Term3_Special_Day_1[[#This Row],[Elapsed]],0))</f>
        <v/>
      </c>
      <c r="G119" s="105" t="str">
        <f>IF(ISBLANK(Term3_Special_Day_1[[#This Row],[Activity]]),"",IF(_xlfn.XLOOKUP(Term3_Special_Day_1[[#This Row],[Activity]],Types_of_Activity[Type of Activity],Types_of_Activity[Classification])=2,Term3_Special_Day_1[[#This Row],[Elapsed]],0))</f>
        <v/>
      </c>
      <c r="H119"/>
      <c r="I119" s="135"/>
      <c r="J119" s="135"/>
      <c r="K119" s="102"/>
      <c r="L119" s="105" t="str">
        <f>IF(OR(ISBLANK(Term3_Special_Day_2[[#This Row],[Start]]),ISBLANK(Term3_Special_Day_2[[#This Row],[End]])),"",(Term3_Special_Day_2[[#This Row],[End]]-Term3_Special_Day_2[[#This Row],[Start]])*1440)</f>
        <v/>
      </c>
      <c r="M119" s="105" t="str">
        <f>IF(ISBLANK(Term3_Special_Day_2[[#This Row],[Activity]]),"",IF(_xlfn.XLOOKUP(Term3_Special_Day_2[[#This Row],[Activity]],Types_of_Activity[Type of Activity],Types_of_Activity[Classification])=1,Term3_Special_Day_2[[#This Row],[Elapsed]],0))</f>
        <v/>
      </c>
      <c r="N119" s="105" t="str">
        <f>IF(ISBLANK(Term3_Special_Day_2[[#This Row],[Activity]]),"",IF(_xlfn.XLOOKUP(Term3_Special_Day_2[[#This Row],[Activity]],Types_of_Activity[Type of Activity],Types_of_Activity[Classification])=2,Term3_Special_Day_2[[#This Row],[Elapsed]],0))</f>
        <v/>
      </c>
      <c r="O119"/>
      <c r="P119" s="135"/>
      <c r="Q119" s="135"/>
      <c r="R119" s="102"/>
      <c r="S119" s="105" t="str">
        <f>IF(OR(ISBLANK(Term3_Special_Day_3[[#This Row],[Start]]),ISBLANK(Term3_Special_Day_3[[#This Row],[End]])),"",(Term3_Special_Day_3[[#This Row],[End]]-Term3_Special_Day_3[[#This Row],[Start]])*1440)</f>
        <v/>
      </c>
      <c r="T119" s="105" t="str">
        <f>IF(ISBLANK(Term3_Special_Day_3[[#This Row],[Activity]]),"",IF(_xlfn.XLOOKUP(Term3_Special_Day_3[[#This Row],[Activity]],Types_of_Activity[Type of Activity],Types_of_Activity[Classification])=1,Term3_Special_Day_3[[#This Row],[Elapsed]],0))</f>
        <v/>
      </c>
      <c r="U119" s="105" t="str">
        <f>IF(ISBLANK(Term3_Special_Day_3[[#This Row],[Activity]]),"",IF(_xlfn.XLOOKUP(Term3_Special_Day_3[[#This Row],[Activity]],Types_of_Activity[Type of Activity],Types_of_Activity[Classification])=2,Term3_Special_Day_3[[#This Row],[Elapsed]],0))</f>
        <v/>
      </c>
    </row>
    <row r="120" spans="2:21" x14ac:dyDescent="0.3">
      <c r="B120" s="135"/>
      <c r="C120" s="135"/>
      <c r="D120" s="102"/>
      <c r="E120" s="105" t="str">
        <f>IF(OR(ISBLANK(Term3_Special_Day_1[[#This Row],[Start]]),ISBLANK(Term3_Special_Day_1[[#This Row],[End]])),"",(Term3_Special_Day_1[[#This Row],[End]]-Term3_Special_Day_1[[#This Row],[Start]])*1440)</f>
        <v/>
      </c>
      <c r="F120" s="105" t="str">
        <f>IF(ISBLANK(Term3_Special_Day_1[[#This Row],[Activity]]),"",IF(_xlfn.XLOOKUP(Term3_Special_Day_1[[#This Row],[Activity]],Types_of_Activity[Type of Activity],Types_of_Activity[Classification])=1,Term3_Special_Day_1[[#This Row],[Elapsed]],0))</f>
        <v/>
      </c>
      <c r="G120" s="105" t="str">
        <f>IF(ISBLANK(Term3_Special_Day_1[[#This Row],[Activity]]),"",IF(_xlfn.XLOOKUP(Term3_Special_Day_1[[#This Row],[Activity]],Types_of_Activity[Type of Activity],Types_of_Activity[Classification])=2,Term3_Special_Day_1[[#This Row],[Elapsed]],0))</f>
        <v/>
      </c>
      <c r="H120"/>
      <c r="I120" s="135"/>
      <c r="J120" s="135"/>
      <c r="K120" s="102"/>
      <c r="L120" s="105" t="str">
        <f>IF(OR(ISBLANK(Term3_Special_Day_2[[#This Row],[Start]]),ISBLANK(Term3_Special_Day_2[[#This Row],[End]])),"",(Term3_Special_Day_2[[#This Row],[End]]-Term3_Special_Day_2[[#This Row],[Start]])*1440)</f>
        <v/>
      </c>
      <c r="M120" s="105" t="str">
        <f>IF(ISBLANK(Term3_Special_Day_2[[#This Row],[Activity]]),"",IF(_xlfn.XLOOKUP(Term3_Special_Day_2[[#This Row],[Activity]],Types_of_Activity[Type of Activity],Types_of_Activity[Classification])=1,Term3_Special_Day_2[[#This Row],[Elapsed]],0))</f>
        <v/>
      </c>
      <c r="N120" s="105" t="str">
        <f>IF(ISBLANK(Term3_Special_Day_2[[#This Row],[Activity]]),"",IF(_xlfn.XLOOKUP(Term3_Special_Day_2[[#This Row],[Activity]],Types_of_Activity[Type of Activity],Types_of_Activity[Classification])=2,Term3_Special_Day_2[[#This Row],[Elapsed]],0))</f>
        <v/>
      </c>
      <c r="O120"/>
      <c r="P120" s="135"/>
      <c r="Q120" s="135"/>
      <c r="R120" s="102"/>
      <c r="S120" s="105" t="str">
        <f>IF(OR(ISBLANK(Term3_Special_Day_3[[#This Row],[Start]]),ISBLANK(Term3_Special_Day_3[[#This Row],[End]])),"",(Term3_Special_Day_3[[#This Row],[End]]-Term3_Special_Day_3[[#This Row],[Start]])*1440)</f>
        <v/>
      </c>
      <c r="T120" s="105" t="str">
        <f>IF(ISBLANK(Term3_Special_Day_3[[#This Row],[Activity]]),"",IF(_xlfn.XLOOKUP(Term3_Special_Day_3[[#This Row],[Activity]],Types_of_Activity[Type of Activity],Types_of_Activity[Classification])=1,Term3_Special_Day_3[[#This Row],[Elapsed]],0))</f>
        <v/>
      </c>
      <c r="U120" s="105" t="str">
        <f>IF(ISBLANK(Term3_Special_Day_3[[#This Row],[Activity]]),"",IF(_xlfn.XLOOKUP(Term3_Special_Day_3[[#This Row],[Activity]],Types_of_Activity[Type of Activity],Types_of_Activity[Classification])=2,Term3_Special_Day_3[[#This Row],[Elapsed]],0))</f>
        <v/>
      </c>
    </row>
    <row r="121" spans="2:21" x14ac:dyDescent="0.3">
      <c r="B121" s="135"/>
      <c r="C121" s="135"/>
      <c r="D121" s="102"/>
      <c r="E121" s="105" t="str">
        <f>IF(OR(ISBLANK(Term3_Special_Day_1[[#This Row],[Start]]),ISBLANK(Term3_Special_Day_1[[#This Row],[End]])),"",(Term3_Special_Day_1[[#This Row],[End]]-Term3_Special_Day_1[[#This Row],[Start]])*1440)</f>
        <v/>
      </c>
      <c r="F121" s="105" t="str">
        <f>IF(ISBLANK(Term3_Special_Day_1[[#This Row],[Activity]]),"",IF(_xlfn.XLOOKUP(Term3_Special_Day_1[[#This Row],[Activity]],Types_of_Activity[Type of Activity],Types_of_Activity[Classification])=1,Term3_Special_Day_1[[#This Row],[Elapsed]],0))</f>
        <v/>
      </c>
      <c r="G121" s="105" t="str">
        <f>IF(ISBLANK(Term3_Special_Day_1[[#This Row],[Activity]]),"",IF(_xlfn.XLOOKUP(Term3_Special_Day_1[[#This Row],[Activity]],Types_of_Activity[Type of Activity],Types_of_Activity[Classification])=2,Term3_Special_Day_1[[#This Row],[Elapsed]],0))</f>
        <v/>
      </c>
      <c r="H121"/>
      <c r="I121" s="135"/>
      <c r="J121" s="135"/>
      <c r="K121" s="102"/>
      <c r="L121" s="105" t="str">
        <f>IF(OR(ISBLANK(Term3_Special_Day_2[[#This Row],[Start]]),ISBLANK(Term3_Special_Day_2[[#This Row],[End]])),"",(Term3_Special_Day_2[[#This Row],[End]]-Term3_Special_Day_2[[#This Row],[Start]])*1440)</f>
        <v/>
      </c>
      <c r="M121" s="105" t="str">
        <f>IF(ISBLANK(Term3_Special_Day_2[[#This Row],[Activity]]),"",IF(_xlfn.XLOOKUP(Term3_Special_Day_2[[#This Row],[Activity]],Types_of_Activity[Type of Activity],Types_of_Activity[Classification])=1,Term3_Special_Day_2[[#This Row],[Elapsed]],0))</f>
        <v/>
      </c>
      <c r="N121" s="105" t="str">
        <f>IF(ISBLANK(Term3_Special_Day_2[[#This Row],[Activity]]),"",IF(_xlfn.XLOOKUP(Term3_Special_Day_2[[#This Row],[Activity]],Types_of_Activity[Type of Activity],Types_of_Activity[Classification])=2,Term3_Special_Day_2[[#This Row],[Elapsed]],0))</f>
        <v/>
      </c>
      <c r="O121"/>
      <c r="P121" s="135"/>
      <c r="Q121" s="135"/>
      <c r="R121" s="102"/>
      <c r="S121" s="105" t="str">
        <f>IF(OR(ISBLANK(Term3_Special_Day_3[[#This Row],[Start]]),ISBLANK(Term3_Special_Day_3[[#This Row],[End]])),"",(Term3_Special_Day_3[[#This Row],[End]]-Term3_Special_Day_3[[#This Row],[Start]])*1440)</f>
        <v/>
      </c>
      <c r="T121" s="105" t="str">
        <f>IF(ISBLANK(Term3_Special_Day_3[[#This Row],[Activity]]),"",IF(_xlfn.XLOOKUP(Term3_Special_Day_3[[#This Row],[Activity]],Types_of_Activity[Type of Activity],Types_of_Activity[Classification])=1,Term3_Special_Day_3[[#This Row],[Elapsed]],0))</f>
        <v/>
      </c>
      <c r="U121" s="105" t="str">
        <f>IF(ISBLANK(Term3_Special_Day_3[[#This Row],[Activity]]),"",IF(_xlfn.XLOOKUP(Term3_Special_Day_3[[#This Row],[Activity]],Types_of_Activity[Type of Activity],Types_of_Activity[Classification])=2,Term3_Special_Day_3[[#This Row],[Elapsed]],0))</f>
        <v/>
      </c>
    </row>
    <row r="122" spans="2:21" x14ac:dyDescent="0.3">
      <c r="B122" s="135"/>
      <c r="C122" s="135"/>
      <c r="D122" s="102"/>
      <c r="E122" s="105" t="str">
        <f>IF(OR(ISBLANK(Term3_Special_Day_1[[#This Row],[Start]]),ISBLANK(Term3_Special_Day_1[[#This Row],[End]])),"",(Term3_Special_Day_1[[#This Row],[End]]-Term3_Special_Day_1[[#This Row],[Start]])*1440)</f>
        <v/>
      </c>
      <c r="F122" s="105" t="str">
        <f>IF(ISBLANK(Term3_Special_Day_1[[#This Row],[Activity]]),"",IF(_xlfn.XLOOKUP(Term3_Special_Day_1[[#This Row],[Activity]],Types_of_Activity[Type of Activity],Types_of_Activity[Classification])=1,Term3_Special_Day_1[[#This Row],[Elapsed]],0))</f>
        <v/>
      </c>
      <c r="G122" s="105" t="str">
        <f>IF(ISBLANK(Term3_Special_Day_1[[#This Row],[Activity]]),"",IF(_xlfn.XLOOKUP(Term3_Special_Day_1[[#This Row],[Activity]],Types_of_Activity[Type of Activity],Types_of_Activity[Classification])=2,Term3_Special_Day_1[[#This Row],[Elapsed]],0))</f>
        <v/>
      </c>
      <c r="H122"/>
      <c r="I122" s="135"/>
      <c r="J122" s="135"/>
      <c r="K122" s="102"/>
      <c r="L122" s="105" t="str">
        <f>IF(OR(ISBLANK(Term3_Special_Day_2[[#This Row],[Start]]),ISBLANK(Term3_Special_Day_2[[#This Row],[End]])),"",(Term3_Special_Day_2[[#This Row],[End]]-Term3_Special_Day_2[[#This Row],[Start]])*1440)</f>
        <v/>
      </c>
      <c r="M122" s="105" t="str">
        <f>IF(ISBLANK(Term3_Special_Day_2[[#This Row],[Activity]]),"",IF(_xlfn.XLOOKUP(Term3_Special_Day_2[[#This Row],[Activity]],Types_of_Activity[Type of Activity],Types_of_Activity[Classification])=1,Term3_Special_Day_2[[#This Row],[Elapsed]],0))</f>
        <v/>
      </c>
      <c r="N122" s="105" t="str">
        <f>IF(ISBLANK(Term3_Special_Day_2[[#This Row],[Activity]]),"",IF(_xlfn.XLOOKUP(Term3_Special_Day_2[[#This Row],[Activity]],Types_of_Activity[Type of Activity],Types_of_Activity[Classification])=2,Term3_Special_Day_2[[#This Row],[Elapsed]],0))</f>
        <v/>
      </c>
      <c r="O122"/>
      <c r="P122" s="135"/>
      <c r="Q122" s="135"/>
      <c r="R122" s="102"/>
      <c r="S122" s="105" t="str">
        <f>IF(OR(ISBLANK(Term3_Special_Day_3[[#This Row],[Start]]),ISBLANK(Term3_Special_Day_3[[#This Row],[End]])),"",(Term3_Special_Day_3[[#This Row],[End]]-Term3_Special_Day_3[[#This Row],[Start]])*1440)</f>
        <v/>
      </c>
      <c r="T122" s="105" t="str">
        <f>IF(ISBLANK(Term3_Special_Day_3[[#This Row],[Activity]]),"",IF(_xlfn.XLOOKUP(Term3_Special_Day_3[[#This Row],[Activity]],Types_of_Activity[Type of Activity],Types_of_Activity[Classification])=1,Term3_Special_Day_3[[#This Row],[Elapsed]],0))</f>
        <v/>
      </c>
      <c r="U122" s="105" t="str">
        <f>IF(ISBLANK(Term3_Special_Day_3[[#This Row],[Activity]]),"",IF(_xlfn.XLOOKUP(Term3_Special_Day_3[[#This Row],[Activity]],Types_of_Activity[Type of Activity],Types_of_Activity[Classification])=2,Term3_Special_Day_3[[#This Row],[Elapsed]],0))</f>
        <v/>
      </c>
    </row>
    <row r="123" spans="2:21" x14ac:dyDescent="0.3">
      <c r="B123" s="135"/>
      <c r="C123" s="135"/>
      <c r="D123" s="102"/>
      <c r="E123" s="105" t="str">
        <f>IF(OR(ISBLANK(Term3_Special_Day_1[[#This Row],[Start]]),ISBLANK(Term3_Special_Day_1[[#This Row],[End]])),"",(Term3_Special_Day_1[[#This Row],[End]]-Term3_Special_Day_1[[#This Row],[Start]])*1440)</f>
        <v/>
      </c>
      <c r="F123" s="105" t="str">
        <f>IF(ISBLANK(Term3_Special_Day_1[[#This Row],[Activity]]),"",IF(_xlfn.XLOOKUP(Term3_Special_Day_1[[#This Row],[Activity]],Types_of_Activity[Type of Activity],Types_of_Activity[Classification])=1,Term3_Special_Day_1[[#This Row],[Elapsed]],0))</f>
        <v/>
      </c>
      <c r="G123" s="105" t="str">
        <f>IF(ISBLANK(Term3_Special_Day_1[[#This Row],[Activity]]),"",IF(_xlfn.XLOOKUP(Term3_Special_Day_1[[#This Row],[Activity]],Types_of_Activity[Type of Activity],Types_of_Activity[Classification])=2,Term3_Special_Day_1[[#This Row],[Elapsed]],0))</f>
        <v/>
      </c>
      <c r="H123"/>
      <c r="I123" s="135"/>
      <c r="J123" s="135"/>
      <c r="K123" s="102"/>
      <c r="L123" s="105" t="str">
        <f>IF(OR(ISBLANK(Term3_Special_Day_2[[#This Row],[Start]]),ISBLANK(Term3_Special_Day_2[[#This Row],[End]])),"",(Term3_Special_Day_2[[#This Row],[End]]-Term3_Special_Day_2[[#This Row],[Start]])*1440)</f>
        <v/>
      </c>
      <c r="M123" s="105" t="str">
        <f>IF(ISBLANK(Term3_Special_Day_2[[#This Row],[Activity]]),"",IF(_xlfn.XLOOKUP(Term3_Special_Day_2[[#This Row],[Activity]],Types_of_Activity[Type of Activity],Types_of_Activity[Classification])=1,Term3_Special_Day_2[[#This Row],[Elapsed]],0))</f>
        <v/>
      </c>
      <c r="N123" s="105" t="str">
        <f>IF(ISBLANK(Term3_Special_Day_2[[#This Row],[Activity]]),"",IF(_xlfn.XLOOKUP(Term3_Special_Day_2[[#This Row],[Activity]],Types_of_Activity[Type of Activity],Types_of_Activity[Classification])=2,Term3_Special_Day_2[[#This Row],[Elapsed]],0))</f>
        <v/>
      </c>
      <c r="O123"/>
      <c r="P123" s="135"/>
      <c r="Q123" s="135"/>
      <c r="R123" s="102"/>
      <c r="S123" s="105" t="str">
        <f>IF(OR(ISBLANK(Term3_Special_Day_3[[#This Row],[Start]]),ISBLANK(Term3_Special_Day_3[[#This Row],[End]])),"",(Term3_Special_Day_3[[#This Row],[End]]-Term3_Special_Day_3[[#This Row],[Start]])*1440)</f>
        <v/>
      </c>
      <c r="T123" s="105" t="str">
        <f>IF(ISBLANK(Term3_Special_Day_3[[#This Row],[Activity]]),"",IF(_xlfn.XLOOKUP(Term3_Special_Day_3[[#This Row],[Activity]],Types_of_Activity[Type of Activity],Types_of_Activity[Classification])=1,Term3_Special_Day_3[[#This Row],[Elapsed]],0))</f>
        <v/>
      </c>
      <c r="U123" s="105" t="str">
        <f>IF(ISBLANK(Term3_Special_Day_3[[#This Row],[Activity]]),"",IF(_xlfn.XLOOKUP(Term3_Special_Day_3[[#This Row],[Activity]],Types_of_Activity[Type of Activity],Types_of_Activity[Classification])=2,Term3_Special_Day_3[[#This Row],[Elapsed]],0))</f>
        <v/>
      </c>
    </row>
    <row r="124" spans="2:21" x14ac:dyDescent="0.3">
      <c r="B124" s="135"/>
      <c r="C124" s="135"/>
      <c r="D124" s="102"/>
      <c r="E124" s="105" t="str">
        <f>IF(OR(ISBLANK(Term3_Special_Day_1[[#This Row],[Start]]),ISBLANK(Term3_Special_Day_1[[#This Row],[End]])),"",(Term3_Special_Day_1[[#This Row],[End]]-Term3_Special_Day_1[[#This Row],[Start]])*1440)</f>
        <v/>
      </c>
      <c r="F124" s="105" t="str">
        <f>IF(ISBLANK(Term3_Special_Day_1[[#This Row],[Activity]]),"",IF(_xlfn.XLOOKUP(Term3_Special_Day_1[[#This Row],[Activity]],Types_of_Activity[Type of Activity],Types_of_Activity[Classification])=1,Term3_Special_Day_1[[#This Row],[Elapsed]],0))</f>
        <v/>
      </c>
      <c r="G124" s="105" t="str">
        <f>IF(ISBLANK(Term3_Special_Day_1[[#This Row],[Activity]]),"",IF(_xlfn.XLOOKUP(Term3_Special_Day_1[[#This Row],[Activity]],Types_of_Activity[Type of Activity],Types_of_Activity[Classification])=2,Term3_Special_Day_1[[#This Row],[Elapsed]],0))</f>
        <v/>
      </c>
      <c r="H124"/>
      <c r="I124" s="135"/>
      <c r="J124" s="135"/>
      <c r="K124" s="102"/>
      <c r="L124" s="105" t="str">
        <f>IF(OR(ISBLANK(Term3_Special_Day_2[[#This Row],[Start]]),ISBLANK(Term3_Special_Day_2[[#This Row],[End]])),"",(Term3_Special_Day_2[[#This Row],[End]]-Term3_Special_Day_2[[#This Row],[Start]])*1440)</f>
        <v/>
      </c>
      <c r="M124" s="105" t="str">
        <f>IF(ISBLANK(Term3_Special_Day_2[[#This Row],[Activity]]),"",IF(_xlfn.XLOOKUP(Term3_Special_Day_2[[#This Row],[Activity]],Types_of_Activity[Type of Activity],Types_of_Activity[Classification])=1,Term3_Special_Day_2[[#This Row],[Elapsed]],0))</f>
        <v/>
      </c>
      <c r="N124" s="105" t="str">
        <f>IF(ISBLANK(Term3_Special_Day_2[[#This Row],[Activity]]),"",IF(_xlfn.XLOOKUP(Term3_Special_Day_2[[#This Row],[Activity]],Types_of_Activity[Type of Activity],Types_of_Activity[Classification])=2,Term3_Special_Day_2[[#This Row],[Elapsed]],0))</f>
        <v/>
      </c>
      <c r="O124"/>
      <c r="P124" s="135"/>
      <c r="Q124" s="135"/>
      <c r="R124" s="102"/>
      <c r="S124" s="105" t="str">
        <f>IF(OR(ISBLANK(Term3_Special_Day_3[[#This Row],[Start]]),ISBLANK(Term3_Special_Day_3[[#This Row],[End]])),"",(Term3_Special_Day_3[[#This Row],[End]]-Term3_Special_Day_3[[#This Row],[Start]])*1440)</f>
        <v/>
      </c>
      <c r="T124" s="105" t="str">
        <f>IF(ISBLANK(Term3_Special_Day_3[[#This Row],[Activity]]),"",IF(_xlfn.XLOOKUP(Term3_Special_Day_3[[#This Row],[Activity]],Types_of_Activity[Type of Activity],Types_of_Activity[Classification])=1,Term3_Special_Day_3[[#This Row],[Elapsed]],0))</f>
        <v/>
      </c>
      <c r="U124" s="105" t="str">
        <f>IF(ISBLANK(Term3_Special_Day_3[[#This Row],[Activity]]),"",IF(_xlfn.XLOOKUP(Term3_Special_Day_3[[#This Row],[Activity]],Types_of_Activity[Type of Activity],Types_of_Activity[Classification])=2,Term3_Special_Day_3[[#This Row],[Elapsed]],0))</f>
        <v/>
      </c>
    </row>
    <row r="125" spans="2:21" x14ac:dyDescent="0.3">
      <c r="B125" s="135"/>
      <c r="C125" s="135"/>
      <c r="D125" s="102"/>
      <c r="E125" s="105" t="str">
        <f>IF(OR(ISBLANK(Term3_Special_Day_1[[#This Row],[Start]]),ISBLANK(Term3_Special_Day_1[[#This Row],[End]])),"",(Term3_Special_Day_1[[#This Row],[End]]-Term3_Special_Day_1[[#This Row],[Start]])*1440)</f>
        <v/>
      </c>
      <c r="F125" s="105" t="str">
        <f>IF(ISBLANK(Term3_Special_Day_1[[#This Row],[Activity]]),"",IF(_xlfn.XLOOKUP(Term3_Special_Day_1[[#This Row],[Activity]],Types_of_Activity[Type of Activity],Types_of_Activity[Classification])=1,Term3_Special_Day_1[[#This Row],[Elapsed]],0))</f>
        <v/>
      </c>
      <c r="G125" s="105" t="str">
        <f>IF(ISBLANK(Term3_Special_Day_1[[#This Row],[Activity]]),"",IF(_xlfn.XLOOKUP(Term3_Special_Day_1[[#This Row],[Activity]],Types_of_Activity[Type of Activity],Types_of_Activity[Classification])=2,Term3_Special_Day_1[[#This Row],[Elapsed]],0))</f>
        <v/>
      </c>
      <c r="H125"/>
      <c r="I125" s="135"/>
      <c r="J125" s="135"/>
      <c r="K125" s="102"/>
      <c r="L125" s="105" t="str">
        <f>IF(OR(ISBLANK(Term3_Special_Day_2[[#This Row],[Start]]),ISBLANK(Term3_Special_Day_2[[#This Row],[End]])),"",(Term3_Special_Day_2[[#This Row],[End]]-Term3_Special_Day_2[[#This Row],[Start]])*1440)</f>
        <v/>
      </c>
      <c r="M125" s="105" t="str">
        <f>IF(ISBLANK(Term3_Special_Day_2[[#This Row],[Activity]]),"",IF(_xlfn.XLOOKUP(Term3_Special_Day_2[[#This Row],[Activity]],Types_of_Activity[Type of Activity],Types_of_Activity[Classification])=1,Term3_Special_Day_2[[#This Row],[Elapsed]],0))</f>
        <v/>
      </c>
      <c r="N125" s="105" t="str">
        <f>IF(ISBLANK(Term3_Special_Day_2[[#This Row],[Activity]]),"",IF(_xlfn.XLOOKUP(Term3_Special_Day_2[[#This Row],[Activity]],Types_of_Activity[Type of Activity],Types_of_Activity[Classification])=2,Term3_Special_Day_2[[#This Row],[Elapsed]],0))</f>
        <v/>
      </c>
      <c r="O125"/>
      <c r="P125" s="135"/>
      <c r="Q125" s="135"/>
      <c r="R125" s="102"/>
      <c r="S125" s="105" t="str">
        <f>IF(OR(ISBLANK(Term3_Special_Day_3[[#This Row],[Start]]),ISBLANK(Term3_Special_Day_3[[#This Row],[End]])),"",(Term3_Special_Day_3[[#This Row],[End]]-Term3_Special_Day_3[[#This Row],[Start]])*1440)</f>
        <v/>
      </c>
      <c r="T125" s="105" t="str">
        <f>IF(ISBLANK(Term3_Special_Day_3[[#This Row],[Activity]]),"",IF(_xlfn.XLOOKUP(Term3_Special_Day_3[[#This Row],[Activity]],Types_of_Activity[Type of Activity],Types_of_Activity[Classification])=1,Term3_Special_Day_3[[#This Row],[Elapsed]],0))</f>
        <v/>
      </c>
      <c r="U125" s="105" t="str">
        <f>IF(ISBLANK(Term3_Special_Day_3[[#This Row],[Activity]]),"",IF(_xlfn.XLOOKUP(Term3_Special_Day_3[[#This Row],[Activity]],Types_of_Activity[Type of Activity],Types_of_Activity[Classification])=2,Term3_Special_Day_3[[#This Row],[Elapsed]],0))</f>
        <v/>
      </c>
    </row>
    <row r="126" spans="2:21" x14ac:dyDescent="0.3">
      <c r="B126" s="135"/>
      <c r="C126" s="135"/>
      <c r="D126" s="102"/>
      <c r="E126" s="105" t="str">
        <f>IF(OR(ISBLANK(Term3_Special_Day_1[[#This Row],[Start]]),ISBLANK(Term3_Special_Day_1[[#This Row],[End]])),"",(Term3_Special_Day_1[[#This Row],[End]]-Term3_Special_Day_1[[#This Row],[Start]])*1440)</f>
        <v/>
      </c>
      <c r="F126" s="105" t="str">
        <f>IF(ISBLANK(Term3_Special_Day_1[[#This Row],[Activity]]),"",IF(_xlfn.XLOOKUP(Term3_Special_Day_1[[#This Row],[Activity]],Types_of_Activity[Type of Activity],Types_of_Activity[Classification])=1,Term3_Special_Day_1[[#This Row],[Elapsed]],0))</f>
        <v/>
      </c>
      <c r="G126" s="105" t="str">
        <f>IF(ISBLANK(Term3_Special_Day_1[[#This Row],[Activity]]),"",IF(_xlfn.XLOOKUP(Term3_Special_Day_1[[#This Row],[Activity]],Types_of_Activity[Type of Activity],Types_of_Activity[Classification])=2,Term3_Special_Day_1[[#This Row],[Elapsed]],0))</f>
        <v/>
      </c>
      <c r="H126"/>
      <c r="I126" s="135"/>
      <c r="J126" s="135"/>
      <c r="K126" s="102"/>
      <c r="L126" s="105" t="str">
        <f>IF(OR(ISBLANK(Term3_Special_Day_2[[#This Row],[Start]]),ISBLANK(Term3_Special_Day_2[[#This Row],[End]])),"",(Term3_Special_Day_2[[#This Row],[End]]-Term3_Special_Day_2[[#This Row],[Start]])*1440)</f>
        <v/>
      </c>
      <c r="M126" s="105" t="str">
        <f>IF(ISBLANK(Term3_Special_Day_2[[#This Row],[Activity]]),"",IF(_xlfn.XLOOKUP(Term3_Special_Day_2[[#This Row],[Activity]],Types_of_Activity[Type of Activity],Types_of_Activity[Classification])=1,Term3_Special_Day_2[[#This Row],[Elapsed]],0))</f>
        <v/>
      </c>
      <c r="N126" s="105" t="str">
        <f>IF(ISBLANK(Term3_Special_Day_2[[#This Row],[Activity]]),"",IF(_xlfn.XLOOKUP(Term3_Special_Day_2[[#This Row],[Activity]],Types_of_Activity[Type of Activity],Types_of_Activity[Classification])=2,Term3_Special_Day_2[[#This Row],[Elapsed]],0))</f>
        <v/>
      </c>
      <c r="O126"/>
      <c r="P126" s="135"/>
      <c r="Q126" s="135"/>
      <c r="R126" s="102"/>
      <c r="S126" s="105" t="str">
        <f>IF(OR(ISBLANK(Term3_Special_Day_3[[#This Row],[Start]]),ISBLANK(Term3_Special_Day_3[[#This Row],[End]])),"",(Term3_Special_Day_3[[#This Row],[End]]-Term3_Special_Day_3[[#This Row],[Start]])*1440)</f>
        <v/>
      </c>
      <c r="T126" s="105" t="str">
        <f>IF(ISBLANK(Term3_Special_Day_3[[#This Row],[Activity]]),"",IF(_xlfn.XLOOKUP(Term3_Special_Day_3[[#This Row],[Activity]],Types_of_Activity[Type of Activity],Types_of_Activity[Classification])=1,Term3_Special_Day_3[[#This Row],[Elapsed]],0))</f>
        <v/>
      </c>
      <c r="U126" s="105" t="str">
        <f>IF(ISBLANK(Term3_Special_Day_3[[#This Row],[Activity]]),"",IF(_xlfn.XLOOKUP(Term3_Special_Day_3[[#This Row],[Activity]],Types_of_Activity[Type of Activity],Types_of_Activity[Classification])=2,Term3_Special_Day_3[[#This Row],[Elapsed]],0))</f>
        <v/>
      </c>
    </row>
    <row r="127" spans="2:21" x14ac:dyDescent="0.3">
      <c r="B127" s="135"/>
      <c r="C127" s="135"/>
      <c r="D127" s="102"/>
      <c r="E127" s="105" t="str">
        <f>IF(OR(ISBLANK(Term3_Special_Day_1[[#This Row],[Start]]),ISBLANK(Term3_Special_Day_1[[#This Row],[End]])),"",(Term3_Special_Day_1[[#This Row],[End]]-Term3_Special_Day_1[[#This Row],[Start]])*1440)</f>
        <v/>
      </c>
      <c r="F127" s="105" t="str">
        <f>IF(ISBLANK(Term3_Special_Day_1[[#This Row],[Activity]]),"",IF(_xlfn.XLOOKUP(Term3_Special_Day_1[[#This Row],[Activity]],Types_of_Activity[Type of Activity],Types_of_Activity[Classification])=1,Term3_Special_Day_1[[#This Row],[Elapsed]],0))</f>
        <v/>
      </c>
      <c r="G127" s="105" t="str">
        <f>IF(ISBLANK(Term3_Special_Day_1[[#This Row],[Activity]]),"",IF(_xlfn.XLOOKUP(Term3_Special_Day_1[[#This Row],[Activity]],Types_of_Activity[Type of Activity],Types_of_Activity[Classification])=2,Term3_Special_Day_1[[#This Row],[Elapsed]],0))</f>
        <v/>
      </c>
      <c r="H127"/>
      <c r="I127" s="135"/>
      <c r="J127" s="135"/>
      <c r="K127" s="102"/>
      <c r="L127" s="105" t="str">
        <f>IF(OR(ISBLANK(Term3_Special_Day_2[[#This Row],[Start]]),ISBLANK(Term3_Special_Day_2[[#This Row],[End]])),"",(Term3_Special_Day_2[[#This Row],[End]]-Term3_Special_Day_2[[#This Row],[Start]])*1440)</f>
        <v/>
      </c>
      <c r="M127" s="105" t="str">
        <f>IF(ISBLANK(Term3_Special_Day_2[[#This Row],[Activity]]),"",IF(_xlfn.XLOOKUP(Term3_Special_Day_2[[#This Row],[Activity]],Types_of_Activity[Type of Activity],Types_of_Activity[Classification])=1,Term3_Special_Day_2[[#This Row],[Elapsed]],0))</f>
        <v/>
      </c>
      <c r="N127" s="105" t="str">
        <f>IF(ISBLANK(Term3_Special_Day_2[[#This Row],[Activity]]),"",IF(_xlfn.XLOOKUP(Term3_Special_Day_2[[#This Row],[Activity]],Types_of_Activity[Type of Activity],Types_of_Activity[Classification])=2,Term3_Special_Day_2[[#This Row],[Elapsed]],0))</f>
        <v/>
      </c>
      <c r="O127"/>
      <c r="P127" s="135"/>
      <c r="Q127" s="135"/>
      <c r="R127" s="102"/>
      <c r="S127" s="105" t="str">
        <f>IF(OR(ISBLANK(Term3_Special_Day_3[[#This Row],[Start]]),ISBLANK(Term3_Special_Day_3[[#This Row],[End]])),"",(Term3_Special_Day_3[[#This Row],[End]]-Term3_Special_Day_3[[#This Row],[Start]])*1440)</f>
        <v/>
      </c>
      <c r="T127" s="105" t="str">
        <f>IF(ISBLANK(Term3_Special_Day_3[[#This Row],[Activity]]),"",IF(_xlfn.XLOOKUP(Term3_Special_Day_3[[#This Row],[Activity]],Types_of_Activity[Type of Activity],Types_of_Activity[Classification])=1,Term3_Special_Day_3[[#This Row],[Elapsed]],0))</f>
        <v/>
      </c>
      <c r="U127" s="105" t="str">
        <f>IF(ISBLANK(Term3_Special_Day_3[[#This Row],[Activity]]),"",IF(_xlfn.XLOOKUP(Term3_Special_Day_3[[#This Row],[Activity]],Types_of_Activity[Type of Activity],Types_of_Activity[Classification])=2,Term3_Special_Day_3[[#This Row],[Elapsed]],0))</f>
        <v/>
      </c>
    </row>
    <row r="128" spans="2:21" x14ac:dyDescent="0.3">
      <c r="B128" s="135"/>
      <c r="C128" s="135"/>
      <c r="D128" s="102"/>
      <c r="E128" s="105" t="str">
        <f>IF(OR(ISBLANK(Term3_Special_Day_1[[#This Row],[Start]]),ISBLANK(Term3_Special_Day_1[[#This Row],[End]])),"",(Term3_Special_Day_1[[#This Row],[End]]-Term3_Special_Day_1[[#This Row],[Start]])*1440)</f>
        <v/>
      </c>
      <c r="F128" s="105" t="str">
        <f>IF(ISBLANK(Term3_Special_Day_1[[#This Row],[Activity]]),"",IF(_xlfn.XLOOKUP(Term3_Special_Day_1[[#This Row],[Activity]],Types_of_Activity[Type of Activity],Types_of_Activity[Classification])=1,Term3_Special_Day_1[[#This Row],[Elapsed]],0))</f>
        <v/>
      </c>
      <c r="G128" s="105" t="str">
        <f>IF(ISBLANK(Term3_Special_Day_1[[#This Row],[Activity]]),"",IF(_xlfn.XLOOKUP(Term3_Special_Day_1[[#This Row],[Activity]],Types_of_Activity[Type of Activity],Types_of_Activity[Classification])=2,Term3_Special_Day_1[[#This Row],[Elapsed]],0))</f>
        <v/>
      </c>
      <c r="H128"/>
      <c r="I128" s="135"/>
      <c r="J128" s="135"/>
      <c r="K128" s="102"/>
      <c r="L128" s="105" t="str">
        <f>IF(OR(ISBLANK(Term3_Special_Day_2[[#This Row],[Start]]),ISBLANK(Term3_Special_Day_2[[#This Row],[End]])),"",(Term3_Special_Day_2[[#This Row],[End]]-Term3_Special_Day_2[[#This Row],[Start]])*1440)</f>
        <v/>
      </c>
      <c r="M128" s="105" t="str">
        <f>IF(ISBLANK(Term3_Special_Day_2[[#This Row],[Activity]]),"",IF(_xlfn.XLOOKUP(Term3_Special_Day_2[[#This Row],[Activity]],Types_of_Activity[Type of Activity],Types_of_Activity[Classification])=1,Term3_Special_Day_2[[#This Row],[Elapsed]],0))</f>
        <v/>
      </c>
      <c r="N128" s="105" t="str">
        <f>IF(ISBLANK(Term3_Special_Day_2[[#This Row],[Activity]]),"",IF(_xlfn.XLOOKUP(Term3_Special_Day_2[[#This Row],[Activity]],Types_of_Activity[Type of Activity],Types_of_Activity[Classification])=2,Term3_Special_Day_2[[#This Row],[Elapsed]],0))</f>
        <v/>
      </c>
      <c r="O128"/>
      <c r="P128" s="135"/>
      <c r="Q128" s="135"/>
      <c r="R128" s="102"/>
      <c r="S128" s="105" t="str">
        <f>IF(OR(ISBLANK(Term3_Special_Day_3[[#This Row],[Start]]),ISBLANK(Term3_Special_Day_3[[#This Row],[End]])),"",(Term3_Special_Day_3[[#This Row],[End]]-Term3_Special_Day_3[[#This Row],[Start]])*1440)</f>
        <v/>
      </c>
      <c r="T128" s="105" t="str">
        <f>IF(ISBLANK(Term3_Special_Day_3[[#This Row],[Activity]]),"",IF(_xlfn.XLOOKUP(Term3_Special_Day_3[[#This Row],[Activity]],Types_of_Activity[Type of Activity],Types_of_Activity[Classification])=1,Term3_Special_Day_3[[#This Row],[Elapsed]],0))</f>
        <v/>
      </c>
      <c r="U128" s="105" t="str">
        <f>IF(ISBLANK(Term3_Special_Day_3[[#This Row],[Activity]]),"",IF(_xlfn.XLOOKUP(Term3_Special_Day_3[[#This Row],[Activity]],Types_of_Activity[Type of Activity],Types_of_Activity[Classification])=2,Term3_Special_Day_3[[#This Row],[Elapsed]],0))</f>
        <v/>
      </c>
    </row>
    <row r="129" spans="2:21" x14ac:dyDescent="0.3">
      <c r="B129" s="135"/>
      <c r="C129" s="135"/>
      <c r="D129" s="102"/>
      <c r="E129" s="105" t="str">
        <f>IF(OR(ISBLANK(Term3_Special_Day_1[[#This Row],[Start]]),ISBLANK(Term3_Special_Day_1[[#This Row],[End]])),"",(Term3_Special_Day_1[[#This Row],[End]]-Term3_Special_Day_1[[#This Row],[Start]])*1440)</f>
        <v/>
      </c>
      <c r="F129" s="105" t="str">
        <f>IF(ISBLANK(Term3_Special_Day_1[[#This Row],[Activity]]),"",IF(_xlfn.XLOOKUP(Term3_Special_Day_1[[#This Row],[Activity]],Types_of_Activity[Type of Activity],Types_of_Activity[Classification])=1,Term3_Special_Day_1[[#This Row],[Elapsed]],0))</f>
        <v/>
      </c>
      <c r="G129" s="105" t="str">
        <f>IF(ISBLANK(Term3_Special_Day_1[[#This Row],[Activity]]),"",IF(_xlfn.XLOOKUP(Term3_Special_Day_1[[#This Row],[Activity]],Types_of_Activity[Type of Activity],Types_of_Activity[Classification])=2,Term3_Special_Day_1[[#This Row],[Elapsed]],0))</f>
        <v/>
      </c>
      <c r="H129"/>
      <c r="I129" s="135"/>
      <c r="J129" s="135"/>
      <c r="K129" s="102"/>
      <c r="L129" s="105" t="str">
        <f>IF(OR(ISBLANK(Term3_Special_Day_2[[#This Row],[Start]]),ISBLANK(Term3_Special_Day_2[[#This Row],[End]])),"",(Term3_Special_Day_2[[#This Row],[End]]-Term3_Special_Day_2[[#This Row],[Start]])*1440)</f>
        <v/>
      </c>
      <c r="M129" s="105" t="str">
        <f>IF(ISBLANK(Term3_Special_Day_2[[#This Row],[Activity]]),"",IF(_xlfn.XLOOKUP(Term3_Special_Day_2[[#This Row],[Activity]],Types_of_Activity[Type of Activity],Types_of_Activity[Classification])=1,Term3_Special_Day_2[[#This Row],[Elapsed]],0))</f>
        <v/>
      </c>
      <c r="N129" s="105" t="str">
        <f>IF(ISBLANK(Term3_Special_Day_2[[#This Row],[Activity]]),"",IF(_xlfn.XLOOKUP(Term3_Special_Day_2[[#This Row],[Activity]],Types_of_Activity[Type of Activity],Types_of_Activity[Classification])=2,Term3_Special_Day_2[[#This Row],[Elapsed]],0))</f>
        <v/>
      </c>
      <c r="O129"/>
      <c r="P129" s="135"/>
      <c r="Q129" s="135"/>
      <c r="R129" s="102"/>
      <c r="S129" s="105" t="str">
        <f>IF(OR(ISBLANK(Term3_Special_Day_3[[#This Row],[Start]]),ISBLANK(Term3_Special_Day_3[[#This Row],[End]])),"",(Term3_Special_Day_3[[#This Row],[End]]-Term3_Special_Day_3[[#This Row],[Start]])*1440)</f>
        <v/>
      </c>
      <c r="T129" s="105" t="str">
        <f>IF(ISBLANK(Term3_Special_Day_3[[#This Row],[Activity]]),"",IF(_xlfn.XLOOKUP(Term3_Special_Day_3[[#This Row],[Activity]],Types_of_Activity[Type of Activity],Types_of_Activity[Classification])=1,Term3_Special_Day_3[[#This Row],[Elapsed]],0))</f>
        <v/>
      </c>
      <c r="U129" s="105" t="str">
        <f>IF(ISBLANK(Term3_Special_Day_3[[#This Row],[Activity]]),"",IF(_xlfn.XLOOKUP(Term3_Special_Day_3[[#This Row],[Activity]],Types_of_Activity[Type of Activity],Types_of_Activity[Classification])=2,Term3_Special_Day_3[[#This Row],[Elapsed]],0))</f>
        <v/>
      </c>
    </row>
    <row r="130" spans="2:21" x14ac:dyDescent="0.3">
      <c r="B130" s="135"/>
      <c r="C130" s="135"/>
      <c r="D130" s="102"/>
      <c r="E130" s="105" t="str">
        <f>IF(OR(ISBLANK(Term3_Special_Day_1[[#This Row],[Start]]),ISBLANK(Term3_Special_Day_1[[#This Row],[End]])),"",(Term3_Special_Day_1[[#This Row],[End]]-Term3_Special_Day_1[[#This Row],[Start]])*1440)</f>
        <v/>
      </c>
      <c r="F130" s="105" t="str">
        <f>IF(ISBLANK(Term3_Special_Day_1[[#This Row],[Activity]]),"",IF(_xlfn.XLOOKUP(Term3_Special_Day_1[[#This Row],[Activity]],Types_of_Activity[Type of Activity],Types_of_Activity[Classification])=1,Term3_Special_Day_1[[#This Row],[Elapsed]],0))</f>
        <v/>
      </c>
      <c r="G130" s="105" t="str">
        <f>IF(ISBLANK(Term3_Special_Day_1[[#This Row],[Activity]]),"",IF(_xlfn.XLOOKUP(Term3_Special_Day_1[[#This Row],[Activity]],Types_of_Activity[Type of Activity],Types_of_Activity[Classification])=2,Term3_Special_Day_1[[#This Row],[Elapsed]],0))</f>
        <v/>
      </c>
      <c r="H130"/>
      <c r="I130" s="135"/>
      <c r="J130" s="135"/>
      <c r="K130" s="102"/>
      <c r="L130" s="105" t="str">
        <f>IF(OR(ISBLANK(Term3_Special_Day_2[[#This Row],[Start]]),ISBLANK(Term3_Special_Day_2[[#This Row],[End]])),"",(Term3_Special_Day_2[[#This Row],[End]]-Term3_Special_Day_2[[#This Row],[Start]])*1440)</f>
        <v/>
      </c>
      <c r="M130" s="105" t="str">
        <f>IF(ISBLANK(Term3_Special_Day_2[[#This Row],[Activity]]),"",IF(_xlfn.XLOOKUP(Term3_Special_Day_2[[#This Row],[Activity]],Types_of_Activity[Type of Activity],Types_of_Activity[Classification])=1,Term3_Special_Day_2[[#This Row],[Elapsed]],0))</f>
        <v/>
      </c>
      <c r="N130" s="105" t="str">
        <f>IF(ISBLANK(Term3_Special_Day_2[[#This Row],[Activity]]),"",IF(_xlfn.XLOOKUP(Term3_Special_Day_2[[#This Row],[Activity]],Types_of_Activity[Type of Activity],Types_of_Activity[Classification])=2,Term3_Special_Day_2[[#This Row],[Elapsed]],0))</f>
        <v/>
      </c>
      <c r="O130"/>
      <c r="P130" s="135"/>
      <c r="Q130" s="135"/>
      <c r="R130" s="102"/>
      <c r="S130" s="105" t="str">
        <f>IF(OR(ISBLANK(Term3_Special_Day_3[[#This Row],[Start]]),ISBLANK(Term3_Special_Day_3[[#This Row],[End]])),"",(Term3_Special_Day_3[[#This Row],[End]]-Term3_Special_Day_3[[#This Row],[Start]])*1440)</f>
        <v/>
      </c>
      <c r="T130" s="105" t="str">
        <f>IF(ISBLANK(Term3_Special_Day_3[[#This Row],[Activity]]),"",IF(_xlfn.XLOOKUP(Term3_Special_Day_3[[#This Row],[Activity]],Types_of_Activity[Type of Activity],Types_of_Activity[Classification])=1,Term3_Special_Day_3[[#This Row],[Elapsed]],0))</f>
        <v/>
      </c>
      <c r="U130" s="105" t="str">
        <f>IF(ISBLANK(Term3_Special_Day_3[[#This Row],[Activity]]),"",IF(_xlfn.XLOOKUP(Term3_Special_Day_3[[#This Row],[Activity]],Types_of_Activity[Type of Activity],Types_of_Activity[Classification])=2,Term3_Special_Day_3[[#This Row],[Elapsed]],0))</f>
        <v/>
      </c>
    </row>
    <row r="131" spans="2:21" x14ac:dyDescent="0.3">
      <c r="B131" s="135"/>
      <c r="C131" s="135"/>
      <c r="D131" s="102"/>
      <c r="E131" s="105" t="str">
        <f>IF(OR(ISBLANK(Term3_Special_Day_1[[#This Row],[Start]]),ISBLANK(Term3_Special_Day_1[[#This Row],[End]])),"",(Term3_Special_Day_1[[#This Row],[End]]-Term3_Special_Day_1[[#This Row],[Start]])*1440)</f>
        <v/>
      </c>
      <c r="F131" s="105" t="str">
        <f>IF(ISBLANK(Term3_Special_Day_1[[#This Row],[Activity]]),"",IF(_xlfn.XLOOKUP(Term3_Special_Day_1[[#This Row],[Activity]],Types_of_Activity[Type of Activity],Types_of_Activity[Classification])=1,Term3_Special_Day_1[[#This Row],[Elapsed]],0))</f>
        <v/>
      </c>
      <c r="G131" s="105" t="str">
        <f>IF(ISBLANK(Term3_Special_Day_1[[#This Row],[Activity]]),"",IF(_xlfn.XLOOKUP(Term3_Special_Day_1[[#This Row],[Activity]],Types_of_Activity[Type of Activity],Types_of_Activity[Classification])=2,Term3_Special_Day_1[[#This Row],[Elapsed]],0))</f>
        <v/>
      </c>
      <c r="H131"/>
      <c r="I131" s="135"/>
      <c r="J131" s="135"/>
      <c r="K131" s="102"/>
      <c r="L131" s="105" t="str">
        <f>IF(OR(ISBLANK(Term3_Special_Day_2[[#This Row],[Start]]),ISBLANK(Term3_Special_Day_2[[#This Row],[End]])),"",(Term3_Special_Day_2[[#This Row],[End]]-Term3_Special_Day_2[[#This Row],[Start]])*1440)</f>
        <v/>
      </c>
      <c r="M131" s="105" t="str">
        <f>IF(ISBLANK(Term3_Special_Day_2[[#This Row],[Activity]]),"",IF(_xlfn.XLOOKUP(Term3_Special_Day_2[[#This Row],[Activity]],Types_of_Activity[Type of Activity],Types_of_Activity[Classification])=1,Term3_Special_Day_2[[#This Row],[Elapsed]],0))</f>
        <v/>
      </c>
      <c r="N131" s="105" t="str">
        <f>IF(ISBLANK(Term3_Special_Day_2[[#This Row],[Activity]]),"",IF(_xlfn.XLOOKUP(Term3_Special_Day_2[[#This Row],[Activity]],Types_of_Activity[Type of Activity],Types_of_Activity[Classification])=2,Term3_Special_Day_2[[#This Row],[Elapsed]],0))</f>
        <v/>
      </c>
      <c r="O131"/>
      <c r="P131" s="135"/>
      <c r="Q131" s="135"/>
      <c r="R131" s="102"/>
      <c r="S131" s="105" t="str">
        <f>IF(OR(ISBLANK(Term3_Special_Day_3[[#This Row],[Start]]),ISBLANK(Term3_Special_Day_3[[#This Row],[End]])),"",(Term3_Special_Day_3[[#This Row],[End]]-Term3_Special_Day_3[[#This Row],[Start]])*1440)</f>
        <v/>
      </c>
      <c r="T131" s="105" t="str">
        <f>IF(ISBLANK(Term3_Special_Day_3[[#This Row],[Activity]]),"",IF(_xlfn.XLOOKUP(Term3_Special_Day_3[[#This Row],[Activity]],Types_of_Activity[Type of Activity],Types_of_Activity[Classification])=1,Term3_Special_Day_3[[#This Row],[Elapsed]],0))</f>
        <v/>
      </c>
      <c r="U131" s="105" t="str">
        <f>IF(ISBLANK(Term3_Special_Day_3[[#This Row],[Activity]]),"",IF(_xlfn.XLOOKUP(Term3_Special_Day_3[[#This Row],[Activity]],Types_of_Activity[Type of Activity],Types_of_Activity[Classification])=2,Term3_Special_Day_3[[#This Row],[Elapsed]],0))</f>
        <v/>
      </c>
    </row>
  </sheetData>
  <sheetProtection algorithmName="SHA-512" hashValue="Q1+j3pvkCn4qPOaO/M1R1WUNO1EseB/RJJVkGURBq2FfCQvJo6JJ3eS1Q8bhOv1Q68P5RbiaPYinmKAWMs88aQ==" saltValue="0Nig5CDaEfRZjA+99B0Xrw==" spinCount="100000" sheet="1" selectLockedCells="1"/>
  <mergeCells count="1">
    <mergeCell ref="B14:N14"/>
  </mergeCells>
  <conditionalFormatting sqref="B14:N14">
    <cfRule type="expression" dxfId="4" priority="1">
      <formula>Num_Terms=1</formula>
    </cfRule>
    <cfRule type="expression" dxfId="3" priority="2">
      <formula>Num_Terms=2</formula>
    </cfRule>
  </conditionalFormatting>
  <dataValidations count="1">
    <dataValidation type="time" allowBlank="1" showInputMessage="1" showErrorMessage="1" sqref="B57:C69 AY18:AZ31 B18:C50 I18:J31 P18:Q31 W18:X31 AD18:AE31 BF18:BG31 AK18:AL31 AR18:AS31 BM18:BN31 W57:X69 AD57:AE69 AK57:AL69" xr:uid="{7CB2C346-87B1-42E2-BE8B-1D8C5C7460AA}">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10CA5603-88A1-4333-BF10-AC09A5DF7E22}">
          <x14:formula1>
            <xm:f>_xlfn.ANCHORARRAY(Parameters!$F$25)</xm:f>
          </x14:formula1>
          <xm:sqref>BH18:BH50 Y18:Y50 BA18:BA50 D18:D50 K18:K50 R18:R50 D99:D131 K99:K131 R99:R131 AF18:AF50 D57:D89 K57:K89 R57:R89 AM18:AM50 AT18:AT50 BO18:BO50 Y57:Y89 AF57:AF89 AM57:AM89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4A11-82ED-46E8-9742-E09274BF0D48}">
  <dimension ref="B14:BS131"/>
  <sheetViews>
    <sheetView showGridLines="0" showRowColHeaders="0" workbookViewId="0">
      <selection activeCell="C9" sqref="C9"/>
    </sheetView>
  </sheetViews>
  <sheetFormatPr defaultColWidth="9" defaultRowHeight="14.4" x14ac:dyDescent="0.3"/>
  <cols>
    <col min="1" max="1" width="9" style="103"/>
    <col min="2" max="3" width="12.77734375" style="103" customWidth="1"/>
    <col min="4" max="4" width="19.6640625" style="103" customWidth="1"/>
    <col min="5" max="5" width="12.6640625" style="103" customWidth="1"/>
    <col min="6" max="7" width="19.77734375" style="103" customWidth="1"/>
    <col min="8" max="8" width="9" style="103"/>
    <col min="9" max="10" width="12.77734375" style="103" customWidth="1"/>
    <col min="11" max="11" width="19.6640625" style="103" customWidth="1"/>
    <col min="12" max="12" width="12.6640625" style="103" customWidth="1"/>
    <col min="13" max="14" width="19.77734375" style="103" customWidth="1"/>
    <col min="15" max="15" width="9.109375" style="103" customWidth="1"/>
    <col min="16" max="17" width="12.77734375" style="103" customWidth="1"/>
    <col min="18" max="18" width="19.6640625" style="103" customWidth="1"/>
    <col min="19" max="19" width="12.6640625" style="103" customWidth="1"/>
    <col min="20" max="21" width="19.77734375" style="103" customWidth="1"/>
    <col min="22" max="22" width="9.109375" style="103" customWidth="1"/>
    <col min="23" max="24" width="12.77734375" style="103" customWidth="1"/>
    <col min="25" max="25" width="19.6640625" style="103" customWidth="1"/>
    <col min="26" max="26" width="12.6640625" style="103" customWidth="1"/>
    <col min="27" max="28" width="19.77734375" style="103" customWidth="1"/>
    <col min="29" max="29" width="9.109375" style="103" customWidth="1"/>
    <col min="30" max="31" width="12.77734375" style="103" customWidth="1"/>
    <col min="32" max="32" width="19.6640625" style="103" customWidth="1"/>
    <col min="33" max="33" width="12.6640625" style="103" customWidth="1"/>
    <col min="34" max="35" width="19.77734375" style="103" customWidth="1"/>
    <col min="36" max="36" width="9.109375" style="103" customWidth="1"/>
    <col min="37" max="38" width="12.77734375" style="103" customWidth="1"/>
    <col min="39" max="39" width="19.6640625" style="103" customWidth="1"/>
    <col min="40" max="40" width="12.6640625" style="103" customWidth="1"/>
    <col min="41" max="42" width="19.77734375" style="103" customWidth="1"/>
    <col min="43" max="43" width="9.109375" style="103" customWidth="1"/>
    <col min="44" max="45" width="12.77734375" style="103" customWidth="1"/>
    <col min="46" max="46" width="19.77734375" style="103" customWidth="1"/>
    <col min="47" max="47" width="12.77734375" style="103" customWidth="1"/>
    <col min="48" max="49" width="19.77734375" style="103" customWidth="1"/>
    <col min="50" max="50" width="9.109375" style="103" customWidth="1"/>
    <col min="51" max="52" width="12.77734375" style="103" customWidth="1"/>
    <col min="53" max="53" width="19.77734375" style="103" customWidth="1"/>
    <col min="54" max="54" width="12.77734375" style="103" customWidth="1"/>
    <col min="55" max="56" width="19.77734375" style="103" customWidth="1"/>
    <col min="57" max="57" width="9.109375" style="103" customWidth="1"/>
    <col min="58" max="59" width="12.77734375" style="103" customWidth="1"/>
    <col min="60" max="60" width="19.77734375" style="103" customWidth="1"/>
    <col min="61" max="61" width="12.77734375" style="103" customWidth="1"/>
    <col min="62" max="63" width="19.77734375" style="103" customWidth="1"/>
    <col min="64" max="64" width="9.109375" style="103" customWidth="1"/>
    <col min="65" max="66" width="12.77734375" style="103" customWidth="1"/>
    <col min="67" max="67" width="19.6640625" style="103" customWidth="1"/>
    <col min="68" max="68" width="12.6640625" style="103" customWidth="1"/>
    <col min="69" max="70" width="19.77734375" style="103" customWidth="1"/>
    <col min="71" max="73" width="12.6640625" style="103" customWidth="1"/>
    <col min="74" max="74" width="18.6640625" style="103" customWidth="1"/>
    <col min="75" max="75" width="20.6640625" style="103" customWidth="1"/>
    <col min="76" max="76" width="18.44140625" style="103" customWidth="1"/>
    <col min="77" max="80" width="9" style="103"/>
    <col min="81" max="81" width="12.109375" style="103" customWidth="1"/>
    <col min="82" max="82" width="16.21875" style="103" customWidth="1"/>
    <col min="83" max="16384" width="9" style="103"/>
  </cols>
  <sheetData>
    <row r="14" spans="2:70" ht="27.75" customHeight="1" x14ac:dyDescent="0.5">
      <c r="B14" s="167" t="str">
        <f>IF(OR(Num_Terms=1,Num_Terms=2,Num_Terms=3),_xlfn.CONCAT("STOP. You indicated that your calendar uses ",Num_Terms," term(s). If your calendar uses 4 terms, update the setting on the first page."),"")</f>
        <v/>
      </c>
      <c r="C14" s="167"/>
      <c r="D14" s="167"/>
      <c r="E14" s="167"/>
      <c r="F14" s="167"/>
      <c r="G14" s="167"/>
      <c r="H14" s="167"/>
      <c r="I14" s="167"/>
      <c r="J14" s="167"/>
      <c r="K14" s="167"/>
      <c r="L14" s="167"/>
      <c r="M14" s="167"/>
      <c r="N14" s="167"/>
    </row>
    <row r="16" spans="2:70" ht="30.6" x14ac:dyDescent="0.55000000000000004">
      <c r="B16" s="104" t="s">
        <v>9</v>
      </c>
      <c r="F16" s="105"/>
      <c r="G16" s="105"/>
      <c r="I16" s="104" t="s">
        <v>10</v>
      </c>
      <c r="M16" s="105"/>
      <c r="N16" s="105"/>
      <c r="P16" s="104" t="s">
        <v>11</v>
      </c>
      <c r="S16" s="105"/>
      <c r="T16" s="105"/>
      <c r="W16" s="104" t="s">
        <v>12</v>
      </c>
      <c r="AA16" s="105"/>
      <c r="AB16" s="105"/>
      <c r="AD16" s="104" t="s">
        <v>13</v>
      </c>
      <c r="AH16" s="105"/>
      <c r="AI16" s="105"/>
      <c r="AK16" s="104" t="s">
        <v>14</v>
      </c>
      <c r="AO16" s="105"/>
      <c r="AP16" s="105"/>
      <c r="AR16" s="104" t="s">
        <v>4099</v>
      </c>
      <c r="AV16" s="105"/>
      <c r="AW16" s="105"/>
      <c r="AY16" s="104" t="s">
        <v>4100</v>
      </c>
      <c r="BC16" s="105"/>
      <c r="BD16" s="105"/>
      <c r="BF16" s="104" t="s">
        <v>4101</v>
      </c>
      <c r="BJ16" s="105"/>
      <c r="BK16" s="105"/>
      <c r="BM16" s="104" t="s">
        <v>15</v>
      </c>
      <c r="BQ16" s="105"/>
      <c r="BR16" s="105"/>
    </row>
    <row r="17" spans="2:71" ht="28.8" x14ac:dyDescent="0.3">
      <c r="B17" s="119" t="s">
        <v>16</v>
      </c>
      <c r="C17" s="119" t="s">
        <v>17</v>
      </c>
      <c r="D17" s="119" t="s">
        <v>19</v>
      </c>
      <c r="E17" s="119" t="s">
        <v>18</v>
      </c>
      <c r="F17" s="119" t="s">
        <v>20</v>
      </c>
      <c r="G17" s="120" t="s">
        <v>4075</v>
      </c>
      <c r="I17" s="119" t="s">
        <v>16</v>
      </c>
      <c r="J17" s="119" t="s">
        <v>17</v>
      </c>
      <c r="K17" s="119" t="s">
        <v>19</v>
      </c>
      <c r="L17" s="119" t="s">
        <v>18</v>
      </c>
      <c r="M17" s="119" t="s">
        <v>20</v>
      </c>
      <c r="N17" s="120" t="s">
        <v>4075</v>
      </c>
      <c r="P17" s="119" t="s">
        <v>16</v>
      </c>
      <c r="Q17" s="119" t="s">
        <v>17</v>
      </c>
      <c r="R17" s="119" t="s">
        <v>19</v>
      </c>
      <c r="S17" s="119" t="s">
        <v>18</v>
      </c>
      <c r="T17" s="119" t="s">
        <v>20</v>
      </c>
      <c r="U17" s="120" t="s">
        <v>4075</v>
      </c>
      <c r="W17" s="119" t="s">
        <v>16</v>
      </c>
      <c r="X17" s="119" t="s">
        <v>17</v>
      </c>
      <c r="Y17" s="119" t="s">
        <v>19</v>
      </c>
      <c r="Z17" s="119" t="s">
        <v>18</v>
      </c>
      <c r="AA17" s="119" t="s">
        <v>20</v>
      </c>
      <c r="AB17" s="120" t="s">
        <v>4075</v>
      </c>
      <c r="AD17" s="119" t="s">
        <v>16</v>
      </c>
      <c r="AE17" s="119" t="s">
        <v>17</v>
      </c>
      <c r="AF17" s="119" t="s">
        <v>19</v>
      </c>
      <c r="AG17" s="119" t="s">
        <v>18</v>
      </c>
      <c r="AH17" s="119" t="s">
        <v>20</v>
      </c>
      <c r="AI17" s="120" t="s">
        <v>4075</v>
      </c>
      <c r="AK17" s="119" t="s">
        <v>16</v>
      </c>
      <c r="AL17" s="119" t="s">
        <v>17</v>
      </c>
      <c r="AM17" s="119" t="s">
        <v>19</v>
      </c>
      <c r="AN17" s="119" t="s">
        <v>18</v>
      </c>
      <c r="AO17" s="119" t="s">
        <v>20</v>
      </c>
      <c r="AP17" s="120" t="s">
        <v>4075</v>
      </c>
      <c r="AR17" s="119" t="s">
        <v>16</v>
      </c>
      <c r="AS17" s="119" t="s">
        <v>17</v>
      </c>
      <c r="AT17" s="119" t="s">
        <v>19</v>
      </c>
      <c r="AU17" s="119" t="s">
        <v>18</v>
      </c>
      <c r="AV17" s="119" t="s">
        <v>20</v>
      </c>
      <c r="AW17" s="120" t="s">
        <v>4075</v>
      </c>
      <c r="AY17" s="119" t="s">
        <v>16</v>
      </c>
      <c r="AZ17" s="119" t="s">
        <v>17</v>
      </c>
      <c r="BA17" s="119" t="s">
        <v>19</v>
      </c>
      <c r="BB17" s="119" t="s">
        <v>18</v>
      </c>
      <c r="BC17" s="119" t="s">
        <v>20</v>
      </c>
      <c r="BD17" s="120" t="s">
        <v>4075</v>
      </c>
      <c r="BF17" s="119" t="s">
        <v>16</v>
      </c>
      <c r="BG17" s="119" t="s">
        <v>17</v>
      </c>
      <c r="BH17" s="119" t="s">
        <v>19</v>
      </c>
      <c r="BI17" s="119" t="s">
        <v>18</v>
      </c>
      <c r="BJ17" s="119" t="s">
        <v>20</v>
      </c>
      <c r="BK17" s="120" t="s">
        <v>4075</v>
      </c>
      <c r="BM17" s="119" t="s">
        <v>16</v>
      </c>
      <c r="BN17" s="119" t="s">
        <v>17</v>
      </c>
      <c r="BO17" s="119" t="s">
        <v>19</v>
      </c>
      <c r="BP17" s="119" t="s">
        <v>18</v>
      </c>
      <c r="BQ17" s="119" t="s">
        <v>20</v>
      </c>
      <c r="BR17" s="120" t="s">
        <v>4075</v>
      </c>
    </row>
    <row r="18" spans="2:71" x14ac:dyDescent="0.3">
      <c r="B18" s="135"/>
      <c r="C18" s="135"/>
      <c r="D18" s="102"/>
      <c r="E18" s="105" t="str">
        <f>IF(OR(ISBLANK(Term4_Day_1[[#This Row],[Start]]),ISBLANK(Term4_Day_1[[#This Row],[End]])),"",(Term4_Day_1[[#This Row],[End]]-Term4_Day_1[[#This Row],[Start]])*1440)</f>
        <v/>
      </c>
      <c r="F18" s="105" t="str">
        <f>IF(ISBLANK(Term4_Day_1[[#This Row],[Activity]]),"",IF(_xlfn.XLOOKUP(Term4_Day_1[[#This Row],[Activity]],Types_of_Activity[Type of Activity],Types_of_Activity[Classification])=1,Term4_Day_1[[#This Row],[Elapsed]],0))</f>
        <v/>
      </c>
      <c r="G18" s="105" t="str">
        <f>IF(ISBLANK(Term4_Day_1[[#This Row],[Activity]]),"",IF(_xlfn.XLOOKUP(Term4_Day_1[[#This Row],[Activity]],Types_of_Activity[Type of Activity],Types_of_Activity[Classification])=2,Term4_Day_1[[#This Row],[Elapsed]],0))</f>
        <v/>
      </c>
      <c r="I18" s="135"/>
      <c r="J18" s="135"/>
      <c r="K18" s="102"/>
      <c r="L18" s="105" t="str">
        <f>IF(OR(ISBLANK(Term4_Day_2[[#This Row],[Start]]),ISBLANK(Term4_Day_2[[#This Row],[End]])),"",(Term4_Day_2[[#This Row],[End]]-Term4_Day_2[[#This Row],[Start]])*1440)</f>
        <v/>
      </c>
      <c r="M18" s="105" t="str">
        <f>IF(ISBLANK(Term4_Day_2[[#This Row],[Activity]]),"",IF(_xlfn.XLOOKUP(Term4_Day_2[[#This Row],[Activity]],Types_of_Activity[Type of Activity],Types_of_Activity[Classification])=1,Term4_Day_2[[#This Row],[Elapsed]],0))</f>
        <v/>
      </c>
      <c r="N18" s="105" t="str">
        <f>IF(ISBLANK(Term4_Day_2[[#This Row],[Activity]]),"",IF(_xlfn.XLOOKUP(Term4_Day_2[[#This Row],[Activity]],Types_of_Activity[Type of Activity],Types_of_Activity[Classification])=2,Term4_Day_2[[#This Row],[Elapsed]],0))</f>
        <v/>
      </c>
      <c r="P18" s="135"/>
      <c r="Q18" s="135"/>
      <c r="R18" s="102"/>
      <c r="S18" s="105" t="str">
        <f>IF(OR(ISBLANK(Term4_Day_3[[#This Row],[Start]]),ISBLANK(Term4_Day_3[[#This Row],[End]])),"",(Term4_Day_3[[#This Row],[End]]-Term4_Day_3[[#This Row],[Start]])*1440)</f>
        <v/>
      </c>
      <c r="T18" s="105" t="str">
        <f>IF(ISBLANK(Term4_Day_3[[#This Row],[Activity]]),"",IF(_xlfn.XLOOKUP(Term4_Day_3[[#This Row],[Activity]],Types_of_Activity[Type of Activity],Types_of_Activity[Classification])=1,Term4_Day_3[[#This Row],[Elapsed]],0))</f>
        <v/>
      </c>
      <c r="U18" s="105" t="str">
        <f>IF(ISBLANK(Term4_Day_3[[#This Row],[Activity]]),"",IF(_xlfn.XLOOKUP(Term4_Day_3[[#This Row],[Activity]],Types_of_Activity[Type of Activity],Types_of_Activity[Classification])=2,Term4_Day_3[[#This Row],[Elapsed]],0))</f>
        <v/>
      </c>
      <c r="W18" s="135"/>
      <c r="X18" s="135"/>
      <c r="Y18" s="102"/>
      <c r="Z18" s="105" t="str">
        <f>IF(OR(ISBLANK(Term4_Day_4[[#This Row],[Start]]),ISBLANK(Term4_Day_4[[#This Row],[End]])),"",(Term4_Day_4[[#This Row],[End]]-Term4_Day_4[[#This Row],[Start]])*1440)</f>
        <v/>
      </c>
      <c r="AA18" s="105" t="str">
        <f>IF(ISBLANK(Term4_Day_4[[#This Row],[Activity]]),"",IF(_xlfn.XLOOKUP(Term4_Day_4[[#This Row],[Activity]],Types_of_Activity[Type of Activity],Types_of_Activity[Classification])=1,Term4_Day_4[[#This Row],[Elapsed]],0))</f>
        <v/>
      </c>
      <c r="AB18" s="105" t="str">
        <f>IF(ISBLANK(Term4_Day_4[[#This Row],[Activity]]),"",IF(_xlfn.XLOOKUP(Term4_Day_4[[#This Row],[Activity]],Types_of_Activity[Type of Activity],Types_of_Activity[Classification])=2,Term4_Day_4[[#This Row],[Elapsed]],0))</f>
        <v/>
      </c>
      <c r="AD18" s="135"/>
      <c r="AE18" s="135"/>
      <c r="AF18" s="102"/>
      <c r="AG18" s="105" t="str">
        <f>IF(OR(ISBLANK(Term4_Day_5[[#This Row],[Start]]),ISBLANK(Term4_Day_5[[#This Row],[End]])),"",(Term4_Day_5[[#This Row],[End]]-Term4_Day_5[[#This Row],[Start]])*1440)</f>
        <v/>
      </c>
      <c r="AH18" s="105" t="str">
        <f>IF(ISBLANK(Term4_Day_5[[#This Row],[Activity]]),"",IF(_xlfn.XLOOKUP(Term4_Day_5[[#This Row],[Activity]],Types_of_Activity[Type of Activity],Types_of_Activity[Classification])=1,Term4_Day_5[[#This Row],[Elapsed]],0))</f>
        <v/>
      </c>
      <c r="AI18" s="105" t="str">
        <f>IF(ISBLANK(Term4_Day_5[[#This Row],[Activity]]),"",IF(_xlfn.XLOOKUP(Term4_Day_5[[#This Row],[Activity]],Types_of_Activity[Type of Activity],Types_of_Activity[Classification])=2,Term4_Day_5[[#This Row],[Elapsed]],0))</f>
        <v/>
      </c>
      <c r="AK18" s="135"/>
      <c r="AL18" s="135"/>
      <c r="AM18" s="102"/>
      <c r="AN18" s="105" t="str">
        <f>IF(OR(ISBLANK(Term4_Day_6[[#This Row],[Start]]),ISBLANK(Term4_Day_6[[#This Row],[End]])),"",(Term4_Day_6[[#This Row],[End]]-Term4_Day_6[[#This Row],[Start]])*1440)</f>
        <v/>
      </c>
      <c r="AO18" s="105" t="str">
        <f>IF(ISBLANK(Term4_Day_6[[#This Row],[Activity]]),"",IF(_xlfn.XLOOKUP(Term4_Day_6[[#This Row],[Activity]],Types_of_Activity[Type of Activity],Types_of_Activity[Classification])=1,Term4_Day_6[[#This Row],[Elapsed]],0))</f>
        <v/>
      </c>
      <c r="AP18" s="105" t="str">
        <f>IF(ISBLANK(Term4_Day_6[[#This Row],[Activity]]),"",IF(_xlfn.XLOOKUP(Term4_Day_6[[#This Row],[Activity]],Types_of_Activity[Type of Activity],Types_of_Activity[Classification])=2,Term4_Day_6[[#This Row],[Elapsed]],0))</f>
        <v/>
      </c>
      <c r="AR18" s="135"/>
      <c r="AS18" s="135"/>
      <c r="AT18" s="102"/>
      <c r="AU18" s="105" t="str">
        <f>IF(OR(ISBLANK(Term4_Day_7[[#This Row],[Start]]),ISBLANK(Term4_Day_7[[#This Row],[End]])),"",(Term4_Day_7[[#This Row],[End]]-Term4_Day_7[[#This Row],[Start]])*1440)</f>
        <v/>
      </c>
      <c r="AV18" s="105" t="str">
        <f>IF(ISBLANK(Term4_Day_7[[#This Row],[Activity]]),"",IF(_xlfn.XLOOKUP(Term4_Day_7[[#This Row],[Activity]],Types_of_Activity[Type of Activity],Types_of_Activity[Classification])=1,Term4_Day_7[[#This Row],[Elapsed]],0))</f>
        <v/>
      </c>
      <c r="AW18" s="105" t="str">
        <f>IF(ISBLANK(Term4_Day_7[[#This Row],[Activity]]),"",IF(_xlfn.XLOOKUP(Term4_Day_7[[#This Row],[Activity]],Types_of_Activity[Type of Activity],Types_of_Activity[Classification])=2,Term4_Day_7[[#This Row],[Elapsed]],0))</f>
        <v/>
      </c>
      <c r="AY18" s="135"/>
      <c r="AZ18" s="135"/>
      <c r="BA18" s="102"/>
      <c r="BB18" s="105" t="str">
        <f>IF(OR(ISBLANK(Term4_Day_8[[#This Row],[Start]]),ISBLANK(Term4_Day_8[[#This Row],[End]])),"",(Term4_Day_8[[#This Row],[End]]-Term4_Day_8[[#This Row],[Start]])*1440)</f>
        <v/>
      </c>
      <c r="BC18" s="105" t="str">
        <f>IF(ISBLANK(Term4_Day_8[[#This Row],[Activity]]),"",IF(_xlfn.XLOOKUP(Term4_Day_8[[#This Row],[Activity]],Types_of_Activity[Type of Activity],Types_of_Activity[Classification])=1,Term4_Day_8[[#This Row],[Elapsed]],0))</f>
        <v/>
      </c>
      <c r="BD18" s="105" t="str">
        <f>IF(ISBLANK(Term4_Day_8[[#This Row],[Activity]]),"",IF(_xlfn.XLOOKUP(Term4_Day_8[[#This Row],[Activity]],Types_of_Activity[Type of Activity],Types_of_Activity[Classification])=2,Term4_Day_8[[#This Row],[Elapsed]],0))</f>
        <v/>
      </c>
      <c r="BF18" s="135"/>
      <c r="BG18" s="135"/>
      <c r="BH18" s="102"/>
      <c r="BI18" s="105" t="str">
        <f>IF(OR(ISBLANK(Term4_Day_9[[#This Row],[Start]]),ISBLANK(Term4_Day_9[[#This Row],[End]])),"",(Term4_Day_9[[#This Row],[End]]-Term4_Day_9[[#This Row],[Start]])*1440)</f>
        <v/>
      </c>
      <c r="BJ18" s="105" t="str">
        <f>IF(ISBLANK(Term4_Day_9[[#This Row],[Activity]]),"",IF(_xlfn.XLOOKUP(Term4_Day_9[[#This Row],[Activity]],Types_of_Activity[Type of Activity],Types_of_Activity[Classification])=1,Term4_Day_9[[#This Row],[Elapsed]],0))</f>
        <v/>
      </c>
      <c r="BK18" s="105" t="str">
        <f>IF(ISBLANK(Term4_Day_9[[#This Row],[Activity]]),"",IF(_xlfn.XLOOKUP(Term4_Day_9[[#This Row],[Activity]],Types_of_Activity[Type of Activity],Types_of_Activity[Classification])=2,Term4_Day_9[[#This Row],[Elapsed]],0))</f>
        <v/>
      </c>
      <c r="BM18" s="135"/>
      <c r="BN18" s="135"/>
      <c r="BO18" s="102"/>
      <c r="BP18" s="105" t="str">
        <f>IF(OR(ISBLANK(Term4_Day_10[[#This Row],[Start]]),ISBLANK(Term4_Day_10[[#This Row],[End]])),"",(Term4_Day_10[[#This Row],[End]]-Term4_Day_10[[#This Row],[Start]])*1440)</f>
        <v/>
      </c>
      <c r="BQ18" s="105" t="str">
        <f>IF(ISBLANK(Term4_Day_10[[#This Row],[Activity]]),"",IF(_xlfn.XLOOKUP(Term4_Day_10[[#This Row],[Activity]],Types_of_Activity[Type of Activity],Types_of_Activity[Classification])=1,Term4_Day_10[[#This Row],[Elapsed]],0))</f>
        <v/>
      </c>
      <c r="BR18" s="105" t="str">
        <f>IF(ISBLANK(Term4_Day_10[[#This Row],[Activity]]),"",IF(_xlfn.XLOOKUP(Term4_Day_10[[#This Row],[Activity]],Types_of_Activity[Type of Activity],Types_of_Activity[Classification])=2,Term4_Day_10[[#This Row],[Elapsed]],0))</f>
        <v/>
      </c>
    </row>
    <row r="19" spans="2:71" x14ac:dyDescent="0.3">
      <c r="B19" s="135"/>
      <c r="C19" s="135"/>
      <c r="D19" s="102"/>
      <c r="E19" s="105" t="str">
        <f>IF(OR(ISBLANK(Term4_Day_1[[#This Row],[Start]]),ISBLANK(Term4_Day_1[[#This Row],[End]])),"",(Term4_Day_1[[#This Row],[End]]-Term4_Day_1[[#This Row],[Start]])*1440)</f>
        <v/>
      </c>
      <c r="F19" s="105" t="str">
        <f>IF(ISBLANK(Term4_Day_1[[#This Row],[Activity]]),"",IF(_xlfn.XLOOKUP(Term4_Day_1[[#This Row],[Activity]],Types_of_Activity[Type of Activity],Types_of_Activity[Classification])=1,Term4_Day_1[[#This Row],[Elapsed]],0))</f>
        <v/>
      </c>
      <c r="G19" s="105" t="str">
        <f>IF(ISBLANK(Term4_Day_1[[#This Row],[Activity]]),"",IF(_xlfn.XLOOKUP(Term4_Day_1[[#This Row],[Activity]],Types_of_Activity[Type of Activity],Types_of_Activity[Classification])=2,Term4_Day_1[[#This Row],[Elapsed]],0))</f>
        <v/>
      </c>
      <c r="I19" s="135"/>
      <c r="J19" s="135"/>
      <c r="K19" s="102"/>
      <c r="L19" s="105" t="str">
        <f>IF(OR(ISBLANK(Term4_Day_2[[#This Row],[Start]]),ISBLANK(Term4_Day_2[[#This Row],[End]])),"",(Term4_Day_2[[#This Row],[End]]-Term4_Day_2[[#This Row],[Start]])*1440)</f>
        <v/>
      </c>
      <c r="M19" s="105" t="str">
        <f>IF(ISBLANK(Term4_Day_2[[#This Row],[Activity]]),"",IF(_xlfn.XLOOKUP(Term4_Day_2[[#This Row],[Activity]],Types_of_Activity[Type of Activity],Types_of_Activity[Classification])=1,Term4_Day_2[[#This Row],[Elapsed]],0))</f>
        <v/>
      </c>
      <c r="N19" s="105" t="str">
        <f>IF(ISBLANK(Term4_Day_2[[#This Row],[Activity]]),"",IF(_xlfn.XLOOKUP(Term4_Day_2[[#This Row],[Activity]],Types_of_Activity[Type of Activity],Types_of_Activity[Classification])=2,Term4_Day_2[[#This Row],[Elapsed]],0))</f>
        <v/>
      </c>
      <c r="P19" s="135"/>
      <c r="Q19" s="135"/>
      <c r="R19" s="102"/>
      <c r="S19" s="105" t="str">
        <f>IF(OR(ISBLANK(Term4_Day_3[[#This Row],[Start]]),ISBLANK(Term4_Day_3[[#This Row],[End]])),"",(Term4_Day_3[[#This Row],[End]]-Term4_Day_3[[#This Row],[Start]])*1440)</f>
        <v/>
      </c>
      <c r="T19" s="105" t="str">
        <f>IF(ISBLANK(Term4_Day_3[[#This Row],[Activity]]),"",IF(_xlfn.XLOOKUP(Term4_Day_3[[#This Row],[Activity]],Types_of_Activity[Type of Activity],Types_of_Activity[Classification])=1,Term4_Day_3[[#This Row],[Elapsed]],0))</f>
        <v/>
      </c>
      <c r="U19" s="105" t="str">
        <f>IF(ISBLANK(Term4_Day_3[[#This Row],[Activity]]),"",IF(_xlfn.XLOOKUP(Term4_Day_3[[#This Row],[Activity]],Types_of_Activity[Type of Activity],Types_of_Activity[Classification])=2,Term4_Day_3[[#This Row],[Elapsed]],0))</f>
        <v/>
      </c>
      <c r="W19" s="135"/>
      <c r="X19" s="135"/>
      <c r="Y19" s="102"/>
      <c r="Z19" s="105" t="str">
        <f>IF(OR(ISBLANK(Term4_Day_4[[#This Row],[Start]]),ISBLANK(Term4_Day_4[[#This Row],[End]])),"",(Term4_Day_4[[#This Row],[End]]-Term4_Day_4[[#This Row],[Start]])*1440)</f>
        <v/>
      </c>
      <c r="AA19" s="105" t="str">
        <f>IF(ISBLANK(Term4_Day_4[[#This Row],[Activity]]),"",IF(_xlfn.XLOOKUP(Term4_Day_4[[#This Row],[Activity]],Types_of_Activity[Type of Activity],Types_of_Activity[Classification])=1,Term4_Day_4[[#This Row],[Elapsed]],0))</f>
        <v/>
      </c>
      <c r="AB19" s="105" t="str">
        <f>IF(ISBLANK(Term4_Day_4[[#This Row],[Activity]]),"",IF(_xlfn.XLOOKUP(Term4_Day_4[[#This Row],[Activity]],Types_of_Activity[Type of Activity],Types_of_Activity[Classification])=2,Term4_Day_4[[#This Row],[Elapsed]],0))</f>
        <v/>
      </c>
      <c r="AD19" s="135"/>
      <c r="AE19" s="135"/>
      <c r="AF19" s="102"/>
      <c r="AG19" s="105" t="str">
        <f>IF(OR(ISBLANK(Term4_Day_5[[#This Row],[Start]]),ISBLANK(Term4_Day_5[[#This Row],[End]])),"",(Term4_Day_5[[#This Row],[End]]-Term4_Day_5[[#This Row],[Start]])*1440)</f>
        <v/>
      </c>
      <c r="AH19" s="105" t="str">
        <f>IF(ISBLANK(Term4_Day_5[[#This Row],[Activity]]),"",IF(_xlfn.XLOOKUP(Term4_Day_5[[#This Row],[Activity]],Types_of_Activity[Type of Activity],Types_of_Activity[Classification])=1,Term4_Day_5[[#This Row],[Elapsed]],0))</f>
        <v/>
      </c>
      <c r="AI19" s="105" t="str">
        <f>IF(ISBLANK(Term4_Day_5[[#This Row],[Activity]]),"",IF(_xlfn.XLOOKUP(Term4_Day_5[[#This Row],[Activity]],Types_of_Activity[Type of Activity],Types_of_Activity[Classification])=2,Term4_Day_5[[#This Row],[Elapsed]],0))</f>
        <v/>
      </c>
      <c r="AK19" s="135"/>
      <c r="AL19" s="135"/>
      <c r="AM19" s="102"/>
      <c r="AN19" s="105" t="str">
        <f>IF(OR(ISBLANK(Term4_Day_6[[#This Row],[Start]]),ISBLANK(Term4_Day_6[[#This Row],[End]])),"",(Term4_Day_6[[#This Row],[End]]-Term4_Day_6[[#This Row],[Start]])*1440)</f>
        <v/>
      </c>
      <c r="AO19" s="105" t="str">
        <f>IF(ISBLANK(Term4_Day_6[[#This Row],[Activity]]),"",IF(_xlfn.XLOOKUP(Term4_Day_6[[#This Row],[Activity]],Types_of_Activity[Type of Activity],Types_of_Activity[Classification])=1,Term4_Day_6[[#This Row],[Elapsed]],0))</f>
        <v/>
      </c>
      <c r="AP19" s="105" t="str">
        <f>IF(ISBLANK(Term4_Day_6[[#This Row],[Activity]]),"",IF(_xlfn.XLOOKUP(Term4_Day_6[[#This Row],[Activity]],Types_of_Activity[Type of Activity],Types_of_Activity[Classification])=2,Term4_Day_6[[#This Row],[Elapsed]],0))</f>
        <v/>
      </c>
      <c r="AR19" s="135"/>
      <c r="AS19" s="135"/>
      <c r="AT19" s="102"/>
      <c r="AU19" s="105" t="str">
        <f>IF(OR(ISBLANK(Term4_Day_7[[#This Row],[Start]]),ISBLANK(Term4_Day_7[[#This Row],[End]])),"",(Term4_Day_7[[#This Row],[End]]-Term4_Day_7[[#This Row],[Start]])*1440)</f>
        <v/>
      </c>
      <c r="AV19" s="105" t="str">
        <f>IF(ISBLANK(Term4_Day_7[[#This Row],[Activity]]),"",IF(_xlfn.XLOOKUP(Term4_Day_7[[#This Row],[Activity]],Types_of_Activity[Type of Activity],Types_of_Activity[Classification])=1,Term4_Day_7[[#This Row],[Elapsed]],0))</f>
        <v/>
      </c>
      <c r="AW19" s="105" t="str">
        <f>IF(ISBLANK(Term4_Day_7[[#This Row],[Activity]]),"",IF(_xlfn.XLOOKUP(Term4_Day_7[[#This Row],[Activity]],Types_of_Activity[Type of Activity],Types_of_Activity[Classification])=2,Term4_Day_7[[#This Row],[Elapsed]],0))</f>
        <v/>
      </c>
      <c r="AY19" s="135"/>
      <c r="AZ19" s="135"/>
      <c r="BA19" s="102"/>
      <c r="BB19" s="105" t="str">
        <f>IF(OR(ISBLANK(Term4_Day_8[[#This Row],[Start]]),ISBLANK(Term4_Day_8[[#This Row],[End]])),"",(Term4_Day_8[[#This Row],[End]]-Term4_Day_8[[#This Row],[Start]])*1440)</f>
        <v/>
      </c>
      <c r="BC19" s="105" t="str">
        <f>IF(ISBLANK(Term4_Day_8[[#This Row],[Activity]]),"",IF(_xlfn.XLOOKUP(Term4_Day_8[[#This Row],[Activity]],Types_of_Activity[Type of Activity],Types_of_Activity[Classification])=1,Term4_Day_8[[#This Row],[Elapsed]],0))</f>
        <v/>
      </c>
      <c r="BD19" s="105" t="str">
        <f>IF(ISBLANK(Term4_Day_8[[#This Row],[Activity]]),"",IF(_xlfn.XLOOKUP(Term4_Day_8[[#This Row],[Activity]],Types_of_Activity[Type of Activity],Types_of_Activity[Classification])=2,Term4_Day_8[[#This Row],[Elapsed]],0))</f>
        <v/>
      </c>
      <c r="BF19" s="135"/>
      <c r="BG19" s="135"/>
      <c r="BH19" s="102"/>
      <c r="BI19" s="105" t="str">
        <f>IF(OR(ISBLANK(Term4_Day_9[[#This Row],[Start]]),ISBLANK(Term4_Day_9[[#This Row],[End]])),"",(Term4_Day_9[[#This Row],[End]]-Term4_Day_9[[#This Row],[Start]])*1440)</f>
        <v/>
      </c>
      <c r="BJ19" s="105" t="str">
        <f>IF(ISBLANK(Term4_Day_9[[#This Row],[Activity]]),"",IF(_xlfn.XLOOKUP(Term4_Day_9[[#This Row],[Activity]],Types_of_Activity[Type of Activity],Types_of_Activity[Classification])=1,Term4_Day_9[[#This Row],[Elapsed]],0))</f>
        <v/>
      </c>
      <c r="BK19" s="105" t="str">
        <f>IF(ISBLANK(Term4_Day_9[[#This Row],[Activity]]),"",IF(_xlfn.XLOOKUP(Term4_Day_9[[#This Row],[Activity]],Types_of_Activity[Type of Activity],Types_of_Activity[Classification])=2,Term4_Day_9[[#This Row],[Elapsed]],0))</f>
        <v/>
      </c>
      <c r="BM19" s="135"/>
      <c r="BN19" s="135"/>
      <c r="BO19" s="102"/>
      <c r="BP19" s="105" t="str">
        <f>IF(OR(ISBLANK(Term4_Day_10[[#This Row],[Start]]),ISBLANK(Term4_Day_10[[#This Row],[End]])),"",(Term4_Day_10[[#This Row],[End]]-Term4_Day_10[[#This Row],[Start]])*1440)</f>
        <v/>
      </c>
      <c r="BQ19" s="105" t="str">
        <f>IF(ISBLANK(Term4_Day_10[[#This Row],[Activity]]),"",IF(_xlfn.XLOOKUP(Term4_Day_10[[#This Row],[Activity]],Types_of_Activity[Type of Activity],Types_of_Activity[Classification])=1,Term4_Day_10[[#This Row],[Elapsed]],0))</f>
        <v/>
      </c>
      <c r="BR19" s="105" t="str">
        <f>IF(ISBLANK(Term4_Day_10[[#This Row],[Activity]]),"",IF(_xlfn.XLOOKUP(Term4_Day_10[[#This Row],[Activity]],Types_of_Activity[Type of Activity],Types_of_Activity[Classification])=2,Term4_Day_10[[#This Row],[Elapsed]],0))</f>
        <v/>
      </c>
    </row>
    <row r="20" spans="2:71" x14ac:dyDescent="0.3">
      <c r="B20" s="135"/>
      <c r="C20" s="135"/>
      <c r="D20" s="102"/>
      <c r="E20" s="105" t="str">
        <f>IF(OR(ISBLANK(Term4_Day_1[[#This Row],[Start]]),ISBLANK(Term4_Day_1[[#This Row],[End]])),"",(Term4_Day_1[[#This Row],[End]]-Term4_Day_1[[#This Row],[Start]])*1440)</f>
        <v/>
      </c>
      <c r="F20" s="105" t="str">
        <f>IF(ISBLANK(Term4_Day_1[[#This Row],[Activity]]),"",IF(_xlfn.XLOOKUP(Term4_Day_1[[#This Row],[Activity]],Types_of_Activity[Type of Activity],Types_of_Activity[Classification])=1,Term4_Day_1[[#This Row],[Elapsed]],0))</f>
        <v/>
      </c>
      <c r="G20" s="105" t="str">
        <f>IF(ISBLANK(Term4_Day_1[[#This Row],[Activity]]),"",IF(_xlfn.XLOOKUP(Term4_Day_1[[#This Row],[Activity]],Types_of_Activity[Type of Activity],Types_of_Activity[Classification])=2,Term4_Day_1[[#This Row],[Elapsed]],0))</f>
        <v/>
      </c>
      <c r="I20" s="135"/>
      <c r="J20" s="135"/>
      <c r="K20" s="102"/>
      <c r="L20" s="105" t="str">
        <f>IF(OR(ISBLANK(Term4_Day_2[[#This Row],[Start]]),ISBLANK(Term4_Day_2[[#This Row],[End]])),"",(Term4_Day_2[[#This Row],[End]]-Term4_Day_2[[#This Row],[Start]])*1440)</f>
        <v/>
      </c>
      <c r="M20" s="105" t="str">
        <f>IF(ISBLANK(Term4_Day_2[[#This Row],[Activity]]),"",IF(_xlfn.XLOOKUP(Term4_Day_2[[#This Row],[Activity]],Types_of_Activity[Type of Activity],Types_of_Activity[Classification])=1,Term4_Day_2[[#This Row],[Elapsed]],0))</f>
        <v/>
      </c>
      <c r="N20" s="105" t="str">
        <f>IF(ISBLANK(Term4_Day_2[[#This Row],[Activity]]),"",IF(_xlfn.XLOOKUP(Term4_Day_2[[#This Row],[Activity]],Types_of_Activity[Type of Activity],Types_of_Activity[Classification])=2,Term4_Day_2[[#This Row],[Elapsed]],0))</f>
        <v/>
      </c>
      <c r="P20" s="135"/>
      <c r="Q20" s="135"/>
      <c r="R20" s="102"/>
      <c r="S20" s="105" t="str">
        <f>IF(OR(ISBLANK(Term4_Day_3[[#This Row],[Start]]),ISBLANK(Term4_Day_3[[#This Row],[End]])),"",(Term4_Day_3[[#This Row],[End]]-Term4_Day_3[[#This Row],[Start]])*1440)</f>
        <v/>
      </c>
      <c r="T20" s="105" t="str">
        <f>IF(ISBLANK(Term4_Day_3[[#This Row],[Activity]]),"",IF(_xlfn.XLOOKUP(Term4_Day_3[[#This Row],[Activity]],Types_of_Activity[Type of Activity],Types_of_Activity[Classification])=1,Term4_Day_3[[#This Row],[Elapsed]],0))</f>
        <v/>
      </c>
      <c r="U20" s="105" t="str">
        <f>IF(ISBLANK(Term4_Day_3[[#This Row],[Activity]]),"",IF(_xlfn.XLOOKUP(Term4_Day_3[[#This Row],[Activity]],Types_of_Activity[Type of Activity],Types_of_Activity[Classification])=2,Term4_Day_3[[#This Row],[Elapsed]],0))</f>
        <v/>
      </c>
      <c r="W20" s="135"/>
      <c r="X20" s="135"/>
      <c r="Y20" s="102"/>
      <c r="Z20" s="105" t="str">
        <f>IF(OR(ISBLANK(Term4_Day_4[[#This Row],[Start]]),ISBLANK(Term4_Day_4[[#This Row],[End]])),"",(Term4_Day_4[[#This Row],[End]]-Term4_Day_4[[#This Row],[Start]])*1440)</f>
        <v/>
      </c>
      <c r="AA20" s="105" t="str">
        <f>IF(ISBLANK(Term4_Day_4[[#This Row],[Activity]]),"",IF(_xlfn.XLOOKUP(Term4_Day_4[[#This Row],[Activity]],Types_of_Activity[Type of Activity],Types_of_Activity[Classification])=1,Term4_Day_4[[#This Row],[Elapsed]],0))</f>
        <v/>
      </c>
      <c r="AB20" s="105" t="str">
        <f>IF(ISBLANK(Term4_Day_4[[#This Row],[Activity]]),"",IF(_xlfn.XLOOKUP(Term4_Day_4[[#This Row],[Activity]],Types_of_Activity[Type of Activity],Types_of_Activity[Classification])=2,Term4_Day_4[[#This Row],[Elapsed]],0))</f>
        <v/>
      </c>
      <c r="AD20" s="135"/>
      <c r="AE20" s="135"/>
      <c r="AF20" s="102"/>
      <c r="AG20" s="105" t="str">
        <f>IF(OR(ISBLANK(Term4_Day_5[[#This Row],[Start]]),ISBLANK(Term4_Day_5[[#This Row],[End]])),"",(Term4_Day_5[[#This Row],[End]]-Term4_Day_5[[#This Row],[Start]])*1440)</f>
        <v/>
      </c>
      <c r="AH20" s="105" t="str">
        <f>IF(ISBLANK(Term4_Day_5[[#This Row],[Activity]]),"",IF(_xlfn.XLOOKUP(Term4_Day_5[[#This Row],[Activity]],Types_of_Activity[Type of Activity],Types_of_Activity[Classification])=1,Term4_Day_5[[#This Row],[Elapsed]],0))</f>
        <v/>
      </c>
      <c r="AI20" s="105" t="str">
        <f>IF(ISBLANK(Term4_Day_5[[#This Row],[Activity]]),"",IF(_xlfn.XLOOKUP(Term4_Day_5[[#This Row],[Activity]],Types_of_Activity[Type of Activity],Types_of_Activity[Classification])=2,Term4_Day_5[[#This Row],[Elapsed]],0))</f>
        <v/>
      </c>
      <c r="AJ20" s="106"/>
      <c r="AK20" s="135"/>
      <c r="AL20" s="135"/>
      <c r="AM20" s="102"/>
      <c r="AN20" s="105" t="str">
        <f>IF(OR(ISBLANK(Term4_Day_6[[#This Row],[Start]]),ISBLANK(Term4_Day_6[[#This Row],[End]])),"",(Term4_Day_6[[#This Row],[End]]-Term4_Day_6[[#This Row],[Start]])*1440)</f>
        <v/>
      </c>
      <c r="AO20" s="105" t="str">
        <f>IF(ISBLANK(Term4_Day_6[[#This Row],[Activity]]),"",IF(_xlfn.XLOOKUP(Term4_Day_6[[#This Row],[Activity]],Types_of_Activity[Type of Activity],Types_of_Activity[Classification])=1,Term4_Day_6[[#This Row],[Elapsed]],0))</f>
        <v/>
      </c>
      <c r="AP20" s="105" t="str">
        <f>IF(ISBLANK(Term4_Day_6[[#This Row],[Activity]]),"",IF(_xlfn.XLOOKUP(Term4_Day_6[[#This Row],[Activity]],Types_of_Activity[Type of Activity],Types_of_Activity[Classification])=2,Term4_Day_6[[#This Row],[Elapsed]],0))</f>
        <v/>
      </c>
      <c r="AQ20" s="106"/>
      <c r="AR20" s="135"/>
      <c r="AS20" s="135"/>
      <c r="AT20" s="102"/>
      <c r="AU20" s="105" t="str">
        <f>IF(OR(ISBLANK(Term4_Day_7[[#This Row],[Start]]),ISBLANK(Term4_Day_7[[#This Row],[End]])),"",(Term4_Day_7[[#This Row],[End]]-Term4_Day_7[[#This Row],[Start]])*1440)</f>
        <v/>
      </c>
      <c r="AV20" s="105" t="str">
        <f>IF(ISBLANK(Term4_Day_7[[#This Row],[Activity]]),"",IF(_xlfn.XLOOKUP(Term4_Day_7[[#This Row],[Activity]],Types_of_Activity[Type of Activity],Types_of_Activity[Classification])=1,Term4_Day_7[[#This Row],[Elapsed]],0))</f>
        <v/>
      </c>
      <c r="AW20" s="105" t="str">
        <f>IF(ISBLANK(Term4_Day_7[[#This Row],[Activity]]),"",IF(_xlfn.XLOOKUP(Term4_Day_7[[#This Row],[Activity]],Types_of_Activity[Type of Activity],Types_of_Activity[Classification])=2,Term4_Day_7[[#This Row],[Elapsed]],0))</f>
        <v/>
      </c>
      <c r="AX20" s="106"/>
      <c r="AY20" s="135"/>
      <c r="AZ20" s="135"/>
      <c r="BA20" s="102"/>
      <c r="BB20" s="105" t="str">
        <f>IF(OR(ISBLANK(Term4_Day_8[[#This Row],[Start]]),ISBLANK(Term4_Day_8[[#This Row],[End]])),"",(Term4_Day_8[[#This Row],[End]]-Term4_Day_8[[#This Row],[Start]])*1440)</f>
        <v/>
      </c>
      <c r="BC20" s="105" t="str">
        <f>IF(ISBLANK(Term4_Day_8[[#This Row],[Activity]]),"",IF(_xlfn.XLOOKUP(Term4_Day_8[[#This Row],[Activity]],Types_of_Activity[Type of Activity],Types_of_Activity[Classification])=1,Term4_Day_8[[#This Row],[Elapsed]],0))</f>
        <v/>
      </c>
      <c r="BD20" s="105" t="str">
        <f>IF(ISBLANK(Term4_Day_8[[#This Row],[Activity]]),"",IF(_xlfn.XLOOKUP(Term4_Day_8[[#This Row],[Activity]],Types_of_Activity[Type of Activity],Types_of_Activity[Classification])=2,Term4_Day_8[[#This Row],[Elapsed]],0))</f>
        <v/>
      </c>
      <c r="BE20" s="106"/>
      <c r="BF20" s="135"/>
      <c r="BG20" s="135"/>
      <c r="BH20" s="102"/>
      <c r="BI20" s="105" t="str">
        <f>IF(OR(ISBLANK(Term4_Day_9[[#This Row],[Start]]),ISBLANK(Term4_Day_9[[#This Row],[End]])),"",(Term4_Day_9[[#This Row],[End]]-Term4_Day_9[[#This Row],[Start]])*1440)</f>
        <v/>
      </c>
      <c r="BJ20" s="105" t="str">
        <f>IF(ISBLANK(Term4_Day_9[[#This Row],[Activity]]),"",IF(_xlfn.XLOOKUP(Term4_Day_9[[#This Row],[Activity]],Types_of_Activity[Type of Activity],Types_of_Activity[Classification])=1,Term4_Day_9[[#This Row],[Elapsed]],0))</f>
        <v/>
      </c>
      <c r="BK20" s="105" t="str">
        <f>IF(ISBLANK(Term4_Day_9[[#This Row],[Activity]]),"",IF(_xlfn.XLOOKUP(Term4_Day_9[[#This Row],[Activity]],Types_of_Activity[Type of Activity],Types_of_Activity[Classification])=2,Term4_Day_9[[#This Row],[Elapsed]],0))</f>
        <v/>
      </c>
      <c r="BL20" s="106"/>
      <c r="BM20" s="135"/>
      <c r="BN20" s="135"/>
      <c r="BO20" s="102"/>
      <c r="BP20" s="105" t="str">
        <f>IF(OR(ISBLANK(Term4_Day_10[[#This Row],[Start]]),ISBLANK(Term4_Day_10[[#This Row],[End]])),"",(Term4_Day_10[[#This Row],[End]]-Term4_Day_10[[#This Row],[Start]])*1440)</f>
        <v/>
      </c>
      <c r="BQ20" s="105" t="str">
        <f>IF(ISBLANK(Term4_Day_10[[#This Row],[Activity]]),"",IF(_xlfn.XLOOKUP(Term4_Day_10[[#This Row],[Activity]],Types_of_Activity[Type of Activity],Types_of_Activity[Classification])=1,Term4_Day_10[[#This Row],[Elapsed]],0))</f>
        <v/>
      </c>
      <c r="BR20" s="105" t="str">
        <f>IF(ISBLANK(Term4_Day_10[[#This Row],[Activity]]),"",IF(_xlfn.XLOOKUP(Term4_Day_10[[#This Row],[Activity]],Types_of_Activity[Type of Activity],Types_of_Activity[Classification])=2,Term4_Day_10[[#This Row],[Elapsed]],0))</f>
        <v/>
      </c>
      <c r="BS20" s="106"/>
    </row>
    <row r="21" spans="2:71" x14ac:dyDescent="0.3">
      <c r="B21" s="135"/>
      <c r="C21" s="135"/>
      <c r="D21" s="102"/>
      <c r="E21" s="105" t="str">
        <f>IF(OR(ISBLANK(Term4_Day_1[[#This Row],[Start]]),ISBLANK(Term4_Day_1[[#This Row],[End]])),"",(Term4_Day_1[[#This Row],[End]]-Term4_Day_1[[#This Row],[Start]])*1440)</f>
        <v/>
      </c>
      <c r="F21" s="105" t="str">
        <f>IF(ISBLANK(Term4_Day_1[[#This Row],[Activity]]),"",IF(_xlfn.XLOOKUP(Term4_Day_1[[#This Row],[Activity]],Types_of_Activity[Type of Activity],Types_of_Activity[Classification])=1,Term4_Day_1[[#This Row],[Elapsed]],0))</f>
        <v/>
      </c>
      <c r="G21" s="105" t="str">
        <f>IF(ISBLANK(Term4_Day_1[[#This Row],[Activity]]),"",IF(_xlfn.XLOOKUP(Term4_Day_1[[#This Row],[Activity]],Types_of_Activity[Type of Activity],Types_of_Activity[Classification])=2,Term4_Day_1[[#This Row],[Elapsed]],0))</f>
        <v/>
      </c>
      <c r="I21" s="135"/>
      <c r="J21" s="135"/>
      <c r="K21" s="102"/>
      <c r="L21" s="105" t="str">
        <f>IF(OR(ISBLANK(Term4_Day_2[[#This Row],[Start]]),ISBLANK(Term4_Day_2[[#This Row],[End]])),"",(Term4_Day_2[[#This Row],[End]]-Term4_Day_2[[#This Row],[Start]])*1440)</f>
        <v/>
      </c>
      <c r="M21" s="105" t="str">
        <f>IF(ISBLANK(Term4_Day_2[[#This Row],[Activity]]),"",IF(_xlfn.XLOOKUP(Term4_Day_2[[#This Row],[Activity]],Types_of_Activity[Type of Activity],Types_of_Activity[Classification])=1,Term4_Day_2[[#This Row],[Elapsed]],0))</f>
        <v/>
      </c>
      <c r="N21" s="105" t="str">
        <f>IF(ISBLANK(Term4_Day_2[[#This Row],[Activity]]),"",IF(_xlfn.XLOOKUP(Term4_Day_2[[#This Row],[Activity]],Types_of_Activity[Type of Activity],Types_of_Activity[Classification])=2,Term4_Day_2[[#This Row],[Elapsed]],0))</f>
        <v/>
      </c>
      <c r="P21" s="135"/>
      <c r="Q21" s="135"/>
      <c r="R21" s="102"/>
      <c r="S21" s="105" t="str">
        <f>IF(OR(ISBLANK(Term4_Day_3[[#This Row],[Start]]),ISBLANK(Term4_Day_3[[#This Row],[End]])),"",(Term4_Day_3[[#This Row],[End]]-Term4_Day_3[[#This Row],[Start]])*1440)</f>
        <v/>
      </c>
      <c r="T21" s="105" t="str">
        <f>IF(ISBLANK(Term4_Day_3[[#This Row],[Activity]]),"",IF(_xlfn.XLOOKUP(Term4_Day_3[[#This Row],[Activity]],Types_of_Activity[Type of Activity],Types_of_Activity[Classification])=1,Term4_Day_3[[#This Row],[Elapsed]],0))</f>
        <v/>
      </c>
      <c r="U21" s="105" t="str">
        <f>IF(ISBLANK(Term4_Day_3[[#This Row],[Activity]]),"",IF(_xlfn.XLOOKUP(Term4_Day_3[[#This Row],[Activity]],Types_of_Activity[Type of Activity],Types_of_Activity[Classification])=2,Term4_Day_3[[#This Row],[Elapsed]],0))</f>
        <v/>
      </c>
      <c r="W21" s="135"/>
      <c r="X21" s="135"/>
      <c r="Y21" s="102"/>
      <c r="Z21" s="105" t="str">
        <f>IF(OR(ISBLANK(Term4_Day_4[[#This Row],[Start]]),ISBLANK(Term4_Day_4[[#This Row],[End]])),"",(Term4_Day_4[[#This Row],[End]]-Term4_Day_4[[#This Row],[Start]])*1440)</f>
        <v/>
      </c>
      <c r="AA21" s="105" t="str">
        <f>IF(ISBLANK(Term4_Day_4[[#This Row],[Activity]]),"",IF(_xlfn.XLOOKUP(Term4_Day_4[[#This Row],[Activity]],Types_of_Activity[Type of Activity],Types_of_Activity[Classification])=1,Term4_Day_4[[#This Row],[Elapsed]],0))</f>
        <v/>
      </c>
      <c r="AB21" s="105" t="str">
        <f>IF(ISBLANK(Term4_Day_4[[#This Row],[Activity]]),"",IF(_xlfn.XLOOKUP(Term4_Day_4[[#This Row],[Activity]],Types_of_Activity[Type of Activity],Types_of_Activity[Classification])=2,Term4_Day_4[[#This Row],[Elapsed]],0))</f>
        <v/>
      </c>
      <c r="AD21" s="135"/>
      <c r="AE21" s="135"/>
      <c r="AF21" s="102"/>
      <c r="AG21" s="105" t="str">
        <f>IF(OR(ISBLANK(Term4_Day_5[[#This Row],[Start]]),ISBLANK(Term4_Day_5[[#This Row],[End]])),"",(Term4_Day_5[[#This Row],[End]]-Term4_Day_5[[#This Row],[Start]])*1440)</f>
        <v/>
      </c>
      <c r="AH21" s="105" t="str">
        <f>IF(ISBLANK(Term4_Day_5[[#This Row],[Activity]]),"",IF(_xlfn.XLOOKUP(Term4_Day_5[[#This Row],[Activity]],Types_of_Activity[Type of Activity],Types_of_Activity[Classification])=1,Term4_Day_5[[#This Row],[Elapsed]],0))</f>
        <v/>
      </c>
      <c r="AI21" s="105" t="str">
        <f>IF(ISBLANK(Term4_Day_5[[#This Row],[Activity]]),"",IF(_xlfn.XLOOKUP(Term4_Day_5[[#This Row],[Activity]],Types_of_Activity[Type of Activity],Types_of_Activity[Classification])=2,Term4_Day_5[[#This Row],[Elapsed]],0))</f>
        <v/>
      </c>
      <c r="AJ21" s="106"/>
      <c r="AK21" s="135"/>
      <c r="AL21" s="135"/>
      <c r="AM21" s="102"/>
      <c r="AN21" s="105" t="str">
        <f>IF(OR(ISBLANK(Term4_Day_6[[#This Row],[Start]]),ISBLANK(Term4_Day_6[[#This Row],[End]])),"",(Term4_Day_6[[#This Row],[End]]-Term4_Day_6[[#This Row],[Start]])*1440)</f>
        <v/>
      </c>
      <c r="AO21" s="105" t="str">
        <f>IF(ISBLANK(Term4_Day_6[[#This Row],[Activity]]),"",IF(_xlfn.XLOOKUP(Term4_Day_6[[#This Row],[Activity]],Types_of_Activity[Type of Activity],Types_of_Activity[Classification])=1,Term4_Day_6[[#This Row],[Elapsed]],0))</f>
        <v/>
      </c>
      <c r="AP21" s="105" t="str">
        <f>IF(ISBLANK(Term4_Day_6[[#This Row],[Activity]]),"",IF(_xlfn.XLOOKUP(Term4_Day_6[[#This Row],[Activity]],Types_of_Activity[Type of Activity],Types_of_Activity[Classification])=2,Term4_Day_6[[#This Row],[Elapsed]],0))</f>
        <v/>
      </c>
      <c r="AQ21" s="106"/>
      <c r="AR21" s="135"/>
      <c r="AS21" s="135"/>
      <c r="AT21" s="102"/>
      <c r="AU21" s="105" t="str">
        <f>IF(OR(ISBLANK(Term4_Day_7[[#This Row],[Start]]),ISBLANK(Term4_Day_7[[#This Row],[End]])),"",(Term4_Day_7[[#This Row],[End]]-Term4_Day_7[[#This Row],[Start]])*1440)</f>
        <v/>
      </c>
      <c r="AV21" s="105" t="str">
        <f>IF(ISBLANK(Term4_Day_7[[#This Row],[Activity]]),"",IF(_xlfn.XLOOKUP(Term4_Day_7[[#This Row],[Activity]],Types_of_Activity[Type of Activity],Types_of_Activity[Classification])=1,Term4_Day_7[[#This Row],[Elapsed]],0))</f>
        <v/>
      </c>
      <c r="AW21" s="105" t="str">
        <f>IF(ISBLANK(Term4_Day_7[[#This Row],[Activity]]),"",IF(_xlfn.XLOOKUP(Term4_Day_7[[#This Row],[Activity]],Types_of_Activity[Type of Activity],Types_of_Activity[Classification])=2,Term4_Day_7[[#This Row],[Elapsed]],0))</f>
        <v/>
      </c>
      <c r="AX21" s="106"/>
      <c r="AY21" s="135"/>
      <c r="AZ21" s="135"/>
      <c r="BA21" s="102"/>
      <c r="BB21" s="105" t="str">
        <f>IF(OR(ISBLANK(Term4_Day_8[[#This Row],[Start]]),ISBLANK(Term4_Day_8[[#This Row],[End]])),"",(Term4_Day_8[[#This Row],[End]]-Term4_Day_8[[#This Row],[Start]])*1440)</f>
        <v/>
      </c>
      <c r="BC21" s="105" t="str">
        <f>IF(ISBLANK(Term4_Day_8[[#This Row],[Activity]]),"",IF(_xlfn.XLOOKUP(Term4_Day_8[[#This Row],[Activity]],Types_of_Activity[Type of Activity],Types_of_Activity[Classification])=1,Term4_Day_8[[#This Row],[Elapsed]],0))</f>
        <v/>
      </c>
      <c r="BD21" s="105" t="str">
        <f>IF(ISBLANK(Term4_Day_8[[#This Row],[Activity]]),"",IF(_xlfn.XLOOKUP(Term4_Day_8[[#This Row],[Activity]],Types_of_Activity[Type of Activity],Types_of_Activity[Classification])=2,Term4_Day_8[[#This Row],[Elapsed]],0))</f>
        <v/>
      </c>
      <c r="BE21" s="106"/>
      <c r="BF21" s="135"/>
      <c r="BG21" s="135"/>
      <c r="BH21" s="102"/>
      <c r="BI21" s="105" t="str">
        <f>IF(OR(ISBLANK(Term4_Day_9[[#This Row],[Start]]),ISBLANK(Term4_Day_9[[#This Row],[End]])),"",(Term4_Day_9[[#This Row],[End]]-Term4_Day_9[[#This Row],[Start]])*1440)</f>
        <v/>
      </c>
      <c r="BJ21" s="105" t="str">
        <f>IF(ISBLANK(Term4_Day_9[[#This Row],[Activity]]),"",IF(_xlfn.XLOOKUP(Term4_Day_9[[#This Row],[Activity]],Types_of_Activity[Type of Activity],Types_of_Activity[Classification])=1,Term4_Day_9[[#This Row],[Elapsed]],0))</f>
        <v/>
      </c>
      <c r="BK21" s="105" t="str">
        <f>IF(ISBLANK(Term4_Day_9[[#This Row],[Activity]]),"",IF(_xlfn.XLOOKUP(Term4_Day_9[[#This Row],[Activity]],Types_of_Activity[Type of Activity],Types_of_Activity[Classification])=2,Term4_Day_9[[#This Row],[Elapsed]],0))</f>
        <v/>
      </c>
      <c r="BL21" s="106"/>
      <c r="BM21" s="135"/>
      <c r="BN21" s="135"/>
      <c r="BO21" s="102"/>
      <c r="BP21" s="105" t="str">
        <f>IF(OR(ISBLANK(Term4_Day_10[[#This Row],[Start]]),ISBLANK(Term4_Day_10[[#This Row],[End]])),"",(Term4_Day_10[[#This Row],[End]]-Term4_Day_10[[#This Row],[Start]])*1440)</f>
        <v/>
      </c>
      <c r="BQ21" s="105" t="str">
        <f>IF(ISBLANK(Term4_Day_10[[#This Row],[Activity]]),"",IF(_xlfn.XLOOKUP(Term4_Day_10[[#This Row],[Activity]],Types_of_Activity[Type of Activity],Types_of_Activity[Classification])=1,Term4_Day_10[[#This Row],[Elapsed]],0))</f>
        <v/>
      </c>
      <c r="BR21" s="105" t="str">
        <f>IF(ISBLANK(Term4_Day_10[[#This Row],[Activity]]),"",IF(_xlfn.XLOOKUP(Term4_Day_10[[#This Row],[Activity]],Types_of_Activity[Type of Activity],Types_of_Activity[Classification])=2,Term4_Day_10[[#This Row],[Elapsed]],0))</f>
        <v/>
      </c>
      <c r="BS21" s="106"/>
    </row>
    <row r="22" spans="2:71" x14ac:dyDescent="0.3">
      <c r="B22" s="135"/>
      <c r="C22" s="135"/>
      <c r="D22" s="102"/>
      <c r="E22" s="105" t="str">
        <f>IF(OR(ISBLANK(Term4_Day_1[[#This Row],[Start]]),ISBLANK(Term4_Day_1[[#This Row],[End]])),"",(Term4_Day_1[[#This Row],[End]]-Term4_Day_1[[#This Row],[Start]])*1440)</f>
        <v/>
      </c>
      <c r="F22" s="105" t="str">
        <f>IF(ISBLANK(Term4_Day_1[[#This Row],[Activity]]),"",IF(_xlfn.XLOOKUP(Term4_Day_1[[#This Row],[Activity]],Types_of_Activity[Type of Activity],Types_of_Activity[Classification])=1,Term4_Day_1[[#This Row],[Elapsed]],0))</f>
        <v/>
      </c>
      <c r="G22" s="105" t="str">
        <f>IF(ISBLANK(Term4_Day_1[[#This Row],[Activity]]),"",IF(_xlfn.XLOOKUP(Term4_Day_1[[#This Row],[Activity]],Types_of_Activity[Type of Activity],Types_of_Activity[Classification])=2,Term4_Day_1[[#This Row],[Elapsed]],0))</f>
        <v/>
      </c>
      <c r="I22" s="135"/>
      <c r="J22" s="135"/>
      <c r="K22" s="102"/>
      <c r="L22" s="105" t="str">
        <f>IF(OR(ISBLANK(Term4_Day_2[[#This Row],[Start]]),ISBLANK(Term4_Day_2[[#This Row],[End]])),"",(Term4_Day_2[[#This Row],[End]]-Term4_Day_2[[#This Row],[Start]])*1440)</f>
        <v/>
      </c>
      <c r="M22" s="105" t="str">
        <f>IF(ISBLANK(Term4_Day_2[[#This Row],[Activity]]),"",IF(_xlfn.XLOOKUP(Term4_Day_2[[#This Row],[Activity]],Types_of_Activity[Type of Activity],Types_of_Activity[Classification])=1,Term4_Day_2[[#This Row],[Elapsed]],0))</f>
        <v/>
      </c>
      <c r="N22" s="105" t="str">
        <f>IF(ISBLANK(Term4_Day_2[[#This Row],[Activity]]),"",IF(_xlfn.XLOOKUP(Term4_Day_2[[#This Row],[Activity]],Types_of_Activity[Type of Activity],Types_of_Activity[Classification])=2,Term4_Day_2[[#This Row],[Elapsed]],0))</f>
        <v/>
      </c>
      <c r="P22" s="135"/>
      <c r="Q22" s="135"/>
      <c r="R22" s="102"/>
      <c r="S22" s="105" t="str">
        <f>IF(OR(ISBLANK(Term4_Day_3[[#This Row],[Start]]),ISBLANK(Term4_Day_3[[#This Row],[End]])),"",(Term4_Day_3[[#This Row],[End]]-Term4_Day_3[[#This Row],[Start]])*1440)</f>
        <v/>
      </c>
      <c r="T22" s="105" t="str">
        <f>IF(ISBLANK(Term4_Day_3[[#This Row],[Activity]]),"",IF(_xlfn.XLOOKUP(Term4_Day_3[[#This Row],[Activity]],Types_of_Activity[Type of Activity],Types_of_Activity[Classification])=1,Term4_Day_3[[#This Row],[Elapsed]],0))</f>
        <v/>
      </c>
      <c r="U22" s="105" t="str">
        <f>IF(ISBLANK(Term4_Day_3[[#This Row],[Activity]]),"",IF(_xlfn.XLOOKUP(Term4_Day_3[[#This Row],[Activity]],Types_of_Activity[Type of Activity],Types_of_Activity[Classification])=2,Term4_Day_3[[#This Row],[Elapsed]],0))</f>
        <v/>
      </c>
      <c r="W22" s="135"/>
      <c r="X22" s="135"/>
      <c r="Y22" s="102"/>
      <c r="Z22" s="105" t="str">
        <f>IF(OR(ISBLANK(Term4_Day_4[[#This Row],[Start]]),ISBLANK(Term4_Day_4[[#This Row],[End]])),"",(Term4_Day_4[[#This Row],[End]]-Term4_Day_4[[#This Row],[Start]])*1440)</f>
        <v/>
      </c>
      <c r="AA22" s="105" t="str">
        <f>IF(ISBLANK(Term4_Day_4[[#This Row],[Activity]]),"",IF(_xlfn.XLOOKUP(Term4_Day_4[[#This Row],[Activity]],Types_of_Activity[Type of Activity],Types_of_Activity[Classification])=1,Term4_Day_4[[#This Row],[Elapsed]],0))</f>
        <v/>
      </c>
      <c r="AB22" s="105" t="str">
        <f>IF(ISBLANK(Term4_Day_4[[#This Row],[Activity]]),"",IF(_xlfn.XLOOKUP(Term4_Day_4[[#This Row],[Activity]],Types_of_Activity[Type of Activity],Types_of_Activity[Classification])=2,Term4_Day_4[[#This Row],[Elapsed]],0))</f>
        <v/>
      </c>
      <c r="AD22" s="135"/>
      <c r="AE22" s="135"/>
      <c r="AF22" s="102"/>
      <c r="AG22" s="105" t="str">
        <f>IF(OR(ISBLANK(Term4_Day_5[[#This Row],[Start]]),ISBLANK(Term4_Day_5[[#This Row],[End]])),"",(Term4_Day_5[[#This Row],[End]]-Term4_Day_5[[#This Row],[Start]])*1440)</f>
        <v/>
      </c>
      <c r="AH22" s="105" t="str">
        <f>IF(ISBLANK(Term4_Day_5[[#This Row],[Activity]]),"",IF(_xlfn.XLOOKUP(Term4_Day_5[[#This Row],[Activity]],Types_of_Activity[Type of Activity],Types_of_Activity[Classification])=1,Term4_Day_5[[#This Row],[Elapsed]],0))</f>
        <v/>
      </c>
      <c r="AI22" s="105" t="str">
        <f>IF(ISBLANK(Term4_Day_5[[#This Row],[Activity]]),"",IF(_xlfn.XLOOKUP(Term4_Day_5[[#This Row],[Activity]],Types_of_Activity[Type of Activity],Types_of_Activity[Classification])=2,Term4_Day_5[[#This Row],[Elapsed]],0))</f>
        <v/>
      </c>
      <c r="AJ22" s="106"/>
      <c r="AK22" s="135"/>
      <c r="AL22" s="135"/>
      <c r="AM22" s="102"/>
      <c r="AN22" s="105" t="str">
        <f>IF(OR(ISBLANK(Term4_Day_6[[#This Row],[Start]]),ISBLANK(Term4_Day_6[[#This Row],[End]])),"",(Term4_Day_6[[#This Row],[End]]-Term4_Day_6[[#This Row],[Start]])*1440)</f>
        <v/>
      </c>
      <c r="AO22" s="105" t="str">
        <f>IF(ISBLANK(Term4_Day_6[[#This Row],[Activity]]),"",IF(_xlfn.XLOOKUP(Term4_Day_6[[#This Row],[Activity]],Types_of_Activity[Type of Activity],Types_of_Activity[Classification])=1,Term4_Day_6[[#This Row],[Elapsed]],0))</f>
        <v/>
      </c>
      <c r="AP22" s="105" t="str">
        <f>IF(ISBLANK(Term4_Day_6[[#This Row],[Activity]]),"",IF(_xlfn.XLOOKUP(Term4_Day_6[[#This Row],[Activity]],Types_of_Activity[Type of Activity],Types_of_Activity[Classification])=2,Term4_Day_6[[#This Row],[Elapsed]],0))</f>
        <v/>
      </c>
      <c r="AQ22" s="106"/>
      <c r="AR22" s="135"/>
      <c r="AS22" s="135"/>
      <c r="AT22" s="102"/>
      <c r="AU22" s="105" t="str">
        <f>IF(OR(ISBLANK(Term4_Day_7[[#This Row],[Start]]),ISBLANK(Term4_Day_7[[#This Row],[End]])),"",(Term4_Day_7[[#This Row],[End]]-Term4_Day_7[[#This Row],[Start]])*1440)</f>
        <v/>
      </c>
      <c r="AV22" s="105" t="str">
        <f>IF(ISBLANK(Term4_Day_7[[#This Row],[Activity]]),"",IF(_xlfn.XLOOKUP(Term4_Day_7[[#This Row],[Activity]],Types_of_Activity[Type of Activity],Types_of_Activity[Classification])=1,Term4_Day_7[[#This Row],[Elapsed]],0))</f>
        <v/>
      </c>
      <c r="AW22" s="105" t="str">
        <f>IF(ISBLANK(Term4_Day_7[[#This Row],[Activity]]),"",IF(_xlfn.XLOOKUP(Term4_Day_7[[#This Row],[Activity]],Types_of_Activity[Type of Activity],Types_of_Activity[Classification])=2,Term4_Day_7[[#This Row],[Elapsed]],0))</f>
        <v/>
      </c>
      <c r="AX22" s="106"/>
      <c r="AY22" s="135"/>
      <c r="AZ22" s="135"/>
      <c r="BA22" s="102"/>
      <c r="BB22" s="105" t="str">
        <f>IF(OR(ISBLANK(Term4_Day_8[[#This Row],[Start]]),ISBLANK(Term4_Day_8[[#This Row],[End]])),"",(Term4_Day_8[[#This Row],[End]]-Term4_Day_8[[#This Row],[Start]])*1440)</f>
        <v/>
      </c>
      <c r="BC22" s="105" t="str">
        <f>IF(ISBLANK(Term4_Day_8[[#This Row],[Activity]]),"",IF(_xlfn.XLOOKUP(Term4_Day_8[[#This Row],[Activity]],Types_of_Activity[Type of Activity],Types_of_Activity[Classification])=1,Term4_Day_8[[#This Row],[Elapsed]],0))</f>
        <v/>
      </c>
      <c r="BD22" s="105" t="str">
        <f>IF(ISBLANK(Term4_Day_8[[#This Row],[Activity]]),"",IF(_xlfn.XLOOKUP(Term4_Day_8[[#This Row],[Activity]],Types_of_Activity[Type of Activity],Types_of_Activity[Classification])=2,Term4_Day_8[[#This Row],[Elapsed]],0))</f>
        <v/>
      </c>
      <c r="BE22" s="106"/>
      <c r="BF22" s="135"/>
      <c r="BG22" s="135"/>
      <c r="BH22" s="102"/>
      <c r="BI22" s="105" t="str">
        <f>IF(OR(ISBLANK(Term4_Day_9[[#This Row],[Start]]),ISBLANK(Term4_Day_9[[#This Row],[End]])),"",(Term4_Day_9[[#This Row],[End]]-Term4_Day_9[[#This Row],[Start]])*1440)</f>
        <v/>
      </c>
      <c r="BJ22" s="105" t="str">
        <f>IF(ISBLANK(Term4_Day_9[[#This Row],[Activity]]),"",IF(_xlfn.XLOOKUP(Term4_Day_9[[#This Row],[Activity]],Types_of_Activity[Type of Activity],Types_of_Activity[Classification])=1,Term4_Day_9[[#This Row],[Elapsed]],0))</f>
        <v/>
      </c>
      <c r="BK22" s="105" t="str">
        <f>IF(ISBLANK(Term4_Day_9[[#This Row],[Activity]]),"",IF(_xlfn.XLOOKUP(Term4_Day_9[[#This Row],[Activity]],Types_of_Activity[Type of Activity],Types_of_Activity[Classification])=2,Term4_Day_9[[#This Row],[Elapsed]],0))</f>
        <v/>
      </c>
      <c r="BL22" s="106"/>
      <c r="BM22" s="135"/>
      <c r="BN22" s="135"/>
      <c r="BO22" s="102"/>
      <c r="BP22" s="105" t="str">
        <f>IF(OR(ISBLANK(Term4_Day_10[[#This Row],[Start]]),ISBLANK(Term4_Day_10[[#This Row],[End]])),"",(Term4_Day_10[[#This Row],[End]]-Term4_Day_10[[#This Row],[Start]])*1440)</f>
        <v/>
      </c>
      <c r="BQ22" s="105" t="str">
        <f>IF(ISBLANK(Term4_Day_10[[#This Row],[Activity]]),"",IF(_xlfn.XLOOKUP(Term4_Day_10[[#This Row],[Activity]],Types_of_Activity[Type of Activity],Types_of_Activity[Classification])=1,Term4_Day_10[[#This Row],[Elapsed]],0))</f>
        <v/>
      </c>
      <c r="BR22" s="105" t="str">
        <f>IF(ISBLANK(Term4_Day_10[[#This Row],[Activity]]),"",IF(_xlfn.XLOOKUP(Term4_Day_10[[#This Row],[Activity]],Types_of_Activity[Type of Activity],Types_of_Activity[Classification])=2,Term4_Day_10[[#This Row],[Elapsed]],0))</f>
        <v/>
      </c>
      <c r="BS22" s="106"/>
    </row>
    <row r="23" spans="2:71" x14ac:dyDescent="0.3">
      <c r="B23" s="135"/>
      <c r="C23" s="135"/>
      <c r="D23" s="102"/>
      <c r="E23" s="105" t="str">
        <f>IF(OR(ISBLANK(Term4_Day_1[[#This Row],[Start]]),ISBLANK(Term4_Day_1[[#This Row],[End]])),"",(Term4_Day_1[[#This Row],[End]]-Term4_Day_1[[#This Row],[Start]])*1440)</f>
        <v/>
      </c>
      <c r="F23" s="105" t="str">
        <f>IF(ISBLANK(Term4_Day_1[[#This Row],[Activity]]),"",IF(_xlfn.XLOOKUP(Term4_Day_1[[#This Row],[Activity]],Types_of_Activity[Type of Activity],Types_of_Activity[Classification])=1,Term4_Day_1[[#This Row],[Elapsed]],0))</f>
        <v/>
      </c>
      <c r="G23" s="105" t="str">
        <f>IF(ISBLANK(Term4_Day_1[[#This Row],[Activity]]),"",IF(_xlfn.XLOOKUP(Term4_Day_1[[#This Row],[Activity]],Types_of_Activity[Type of Activity],Types_of_Activity[Classification])=2,Term4_Day_1[[#This Row],[Elapsed]],0))</f>
        <v/>
      </c>
      <c r="I23" s="135"/>
      <c r="J23" s="135"/>
      <c r="K23" s="102"/>
      <c r="L23" s="105" t="str">
        <f>IF(OR(ISBLANK(Term4_Day_2[[#This Row],[Start]]),ISBLANK(Term4_Day_2[[#This Row],[End]])),"",(Term4_Day_2[[#This Row],[End]]-Term4_Day_2[[#This Row],[Start]])*1440)</f>
        <v/>
      </c>
      <c r="M23" s="105" t="str">
        <f>IF(ISBLANK(Term4_Day_2[[#This Row],[Activity]]),"",IF(_xlfn.XLOOKUP(Term4_Day_2[[#This Row],[Activity]],Types_of_Activity[Type of Activity],Types_of_Activity[Classification])=1,Term4_Day_2[[#This Row],[Elapsed]],0))</f>
        <v/>
      </c>
      <c r="N23" s="105" t="str">
        <f>IF(ISBLANK(Term4_Day_2[[#This Row],[Activity]]),"",IF(_xlfn.XLOOKUP(Term4_Day_2[[#This Row],[Activity]],Types_of_Activity[Type of Activity],Types_of_Activity[Classification])=2,Term4_Day_2[[#This Row],[Elapsed]],0))</f>
        <v/>
      </c>
      <c r="P23" s="135"/>
      <c r="Q23" s="135"/>
      <c r="R23" s="102"/>
      <c r="S23" s="105" t="str">
        <f>IF(OR(ISBLANK(Term4_Day_3[[#This Row],[Start]]),ISBLANK(Term4_Day_3[[#This Row],[End]])),"",(Term4_Day_3[[#This Row],[End]]-Term4_Day_3[[#This Row],[Start]])*1440)</f>
        <v/>
      </c>
      <c r="T23" s="105" t="str">
        <f>IF(ISBLANK(Term4_Day_3[[#This Row],[Activity]]),"",IF(_xlfn.XLOOKUP(Term4_Day_3[[#This Row],[Activity]],Types_of_Activity[Type of Activity],Types_of_Activity[Classification])=1,Term4_Day_3[[#This Row],[Elapsed]],0))</f>
        <v/>
      </c>
      <c r="U23" s="105" t="str">
        <f>IF(ISBLANK(Term4_Day_3[[#This Row],[Activity]]),"",IF(_xlfn.XLOOKUP(Term4_Day_3[[#This Row],[Activity]],Types_of_Activity[Type of Activity],Types_of_Activity[Classification])=2,Term4_Day_3[[#This Row],[Elapsed]],0))</f>
        <v/>
      </c>
      <c r="W23" s="135"/>
      <c r="X23" s="135"/>
      <c r="Y23" s="102"/>
      <c r="Z23" s="105" t="str">
        <f>IF(OR(ISBLANK(Term4_Day_4[[#This Row],[Start]]),ISBLANK(Term4_Day_4[[#This Row],[End]])),"",(Term4_Day_4[[#This Row],[End]]-Term4_Day_4[[#This Row],[Start]])*1440)</f>
        <v/>
      </c>
      <c r="AA23" s="105" t="str">
        <f>IF(ISBLANK(Term4_Day_4[[#This Row],[Activity]]),"",IF(_xlfn.XLOOKUP(Term4_Day_4[[#This Row],[Activity]],Types_of_Activity[Type of Activity],Types_of_Activity[Classification])=1,Term4_Day_4[[#This Row],[Elapsed]],0))</f>
        <v/>
      </c>
      <c r="AB23" s="105" t="str">
        <f>IF(ISBLANK(Term4_Day_4[[#This Row],[Activity]]),"",IF(_xlfn.XLOOKUP(Term4_Day_4[[#This Row],[Activity]],Types_of_Activity[Type of Activity],Types_of_Activity[Classification])=2,Term4_Day_4[[#This Row],[Elapsed]],0))</f>
        <v/>
      </c>
      <c r="AD23" s="135"/>
      <c r="AE23" s="135"/>
      <c r="AF23" s="102"/>
      <c r="AG23" s="105" t="str">
        <f>IF(OR(ISBLANK(Term4_Day_5[[#This Row],[Start]]),ISBLANK(Term4_Day_5[[#This Row],[End]])),"",(Term4_Day_5[[#This Row],[End]]-Term4_Day_5[[#This Row],[Start]])*1440)</f>
        <v/>
      </c>
      <c r="AH23" s="105" t="str">
        <f>IF(ISBLANK(Term4_Day_5[[#This Row],[Activity]]),"",IF(_xlfn.XLOOKUP(Term4_Day_5[[#This Row],[Activity]],Types_of_Activity[Type of Activity],Types_of_Activity[Classification])=1,Term4_Day_5[[#This Row],[Elapsed]],0))</f>
        <v/>
      </c>
      <c r="AI23" s="105" t="str">
        <f>IF(ISBLANK(Term4_Day_5[[#This Row],[Activity]]),"",IF(_xlfn.XLOOKUP(Term4_Day_5[[#This Row],[Activity]],Types_of_Activity[Type of Activity],Types_of_Activity[Classification])=2,Term4_Day_5[[#This Row],[Elapsed]],0))</f>
        <v/>
      </c>
      <c r="AJ23" s="106"/>
      <c r="AK23" s="135"/>
      <c r="AL23" s="135"/>
      <c r="AM23" s="102"/>
      <c r="AN23" s="105" t="str">
        <f>IF(OR(ISBLANK(Term4_Day_6[[#This Row],[Start]]),ISBLANK(Term4_Day_6[[#This Row],[End]])),"",(Term4_Day_6[[#This Row],[End]]-Term4_Day_6[[#This Row],[Start]])*1440)</f>
        <v/>
      </c>
      <c r="AO23" s="105" t="str">
        <f>IF(ISBLANK(Term4_Day_6[[#This Row],[Activity]]),"",IF(_xlfn.XLOOKUP(Term4_Day_6[[#This Row],[Activity]],Types_of_Activity[Type of Activity],Types_of_Activity[Classification])=1,Term4_Day_6[[#This Row],[Elapsed]],0))</f>
        <v/>
      </c>
      <c r="AP23" s="105" t="str">
        <f>IF(ISBLANK(Term4_Day_6[[#This Row],[Activity]]),"",IF(_xlfn.XLOOKUP(Term4_Day_6[[#This Row],[Activity]],Types_of_Activity[Type of Activity],Types_of_Activity[Classification])=2,Term4_Day_6[[#This Row],[Elapsed]],0))</f>
        <v/>
      </c>
      <c r="AQ23" s="106"/>
      <c r="AR23" s="135"/>
      <c r="AS23" s="135"/>
      <c r="AT23" s="102"/>
      <c r="AU23" s="105" t="str">
        <f>IF(OR(ISBLANK(Term4_Day_7[[#This Row],[Start]]),ISBLANK(Term4_Day_7[[#This Row],[End]])),"",(Term4_Day_7[[#This Row],[End]]-Term4_Day_7[[#This Row],[Start]])*1440)</f>
        <v/>
      </c>
      <c r="AV23" s="105" t="str">
        <f>IF(ISBLANK(Term4_Day_7[[#This Row],[Activity]]),"",IF(_xlfn.XLOOKUP(Term4_Day_7[[#This Row],[Activity]],Types_of_Activity[Type of Activity],Types_of_Activity[Classification])=1,Term4_Day_7[[#This Row],[Elapsed]],0))</f>
        <v/>
      </c>
      <c r="AW23" s="105" t="str">
        <f>IF(ISBLANK(Term4_Day_7[[#This Row],[Activity]]),"",IF(_xlfn.XLOOKUP(Term4_Day_7[[#This Row],[Activity]],Types_of_Activity[Type of Activity],Types_of_Activity[Classification])=2,Term4_Day_7[[#This Row],[Elapsed]],0))</f>
        <v/>
      </c>
      <c r="AX23" s="106"/>
      <c r="AY23" s="135"/>
      <c r="AZ23" s="135"/>
      <c r="BA23" s="102"/>
      <c r="BB23" s="105" t="str">
        <f>IF(OR(ISBLANK(Term4_Day_8[[#This Row],[Start]]),ISBLANK(Term4_Day_8[[#This Row],[End]])),"",(Term4_Day_8[[#This Row],[End]]-Term4_Day_8[[#This Row],[Start]])*1440)</f>
        <v/>
      </c>
      <c r="BC23" s="105" t="str">
        <f>IF(ISBLANK(Term4_Day_8[[#This Row],[Activity]]),"",IF(_xlfn.XLOOKUP(Term4_Day_8[[#This Row],[Activity]],Types_of_Activity[Type of Activity],Types_of_Activity[Classification])=1,Term4_Day_8[[#This Row],[Elapsed]],0))</f>
        <v/>
      </c>
      <c r="BD23" s="105" t="str">
        <f>IF(ISBLANK(Term4_Day_8[[#This Row],[Activity]]),"",IF(_xlfn.XLOOKUP(Term4_Day_8[[#This Row],[Activity]],Types_of_Activity[Type of Activity],Types_of_Activity[Classification])=2,Term4_Day_8[[#This Row],[Elapsed]],0))</f>
        <v/>
      </c>
      <c r="BE23" s="106"/>
      <c r="BF23" s="135"/>
      <c r="BG23" s="135"/>
      <c r="BH23" s="102"/>
      <c r="BI23" s="105" t="str">
        <f>IF(OR(ISBLANK(Term4_Day_9[[#This Row],[Start]]),ISBLANK(Term4_Day_9[[#This Row],[End]])),"",(Term4_Day_9[[#This Row],[End]]-Term4_Day_9[[#This Row],[Start]])*1440)</f>
        <v/>
      </c>
      <c r="BJ23" s="105" t="str">
        <f>IF(ISBLANK(Term4_Day_9[[#This Row],[Activity]]),"",IF(_xlfn.XLOOKUP(Term4_Day_9[[#This Row],[Activity]],Types_of_Activity[Type of Activity],Types_of_Activity[Classification])=1,Term4_Day_9[[#This Row],[Elapsed]],0))</f>
        <v/>
      </c>
      <c r="BK23" s="105" t="str">
        <f>IF(ISBLANK(Term4_Day_9[[#This Row],[Activity]]),"",IF(_xlfn.XLOOKUP(Term4_Day_9[[#This Row],[Activity]],Types_of_Activity[Type of Activity],Types_of_Activity[Classification])=2,Term4_Day_9[[#This Row],[Elapsed]],0))</f>
        <v/>
      </c>
      <c r="BL23" s="106"/>
      <c r="BM23" s="135"/>
      <c r="BN23" s="135"/>
      <c r="BO23" s="102"/>
      <c r="BP23" s="105" t="str">
        <f>IF(OR(ISBLANK(Term4_Day_10[[#This Row],[Start]]),ISBLANK(Term4_Day_10[[#This Row],[End]])),"",(Term4_Day_10[[#This Row],[End]]-Term4_Day_10[[#This Row],[Start]])*1440)</f>
        <v/>
      </c>
      <c r="BQ23" s="105" t="str">
        <f>IF(ISBLANK(Term4_Day_10[[#This Row],[Activity]]),"",IF(_xlfn.XLOOKUP(Term4_Day_10[[#This Row],[Activity]],Types_of_Activity[Type of Activity],Types_of_Activity[Classification])=1,Term4_Day_10[[#This Row],[Elapsed]],0))</f>
        <v/>
      </c>
      <c r="BR23" s="105" t="str">
        <f>IF(ISBLANK(Term4_Day_10[[#This Row],[Activity]]),"",IF(_xlfn.XLOOKUP(Term4_Day_10[[#This Row],[Activity]],Types_of_Activity[Type of Activity],Types_of_Activity[Classification])=2,Term4_Day_10[[#This Row],[Elapsed]],0))</f>
        <v/>
      </c>
      <c r="BS23" s="106"/>
    </row>
    <row r="24" spans="2:71" x14ac:dyDescent="0.3">
      <c r="B24" s="135"/>
      <c r="C24" s="135"/>
      <c r="D24" s="102"/>
      <c r="E24" s="105" t="str">
        <f>IF(OR(ISBLANK(Term4_Day_1[[#This Row],[Start]]),ISBLANK(Term4_Day_1[[#This Row],[End]])),"",(Term4_Day_1[[#This Row],[End]]-Term4_Day_1[[#This Row],[Start]])*1440)</f>
        <v/>
      </c>
      <c r="F24" s="105" t="str">
        <f>IF(ISBLANK(Term4_Day_1[[#This Row],[Activity]]),"",IF(_xlfn.XLOOKUP(Term4_Day_1[[#This Row],[Activity]],Types_of_Activity[Type of Activity],Types_of_Activity[Classification])=1,Term4_Day_1[[#This Row],[Elapsed]],0))</f>
        <v/>
      </c>
      <c r="G24" s="105" t="str">
        <f>IF(ISBLANK(Term4_Day_1[[#This Row],[Activity]]),"",IF(_xlfn.XLOOKUP(Term4_Day_1[[#This Row],[Activity]],Types_of_Activity[Type of Activity],Types_of_Activity[Classification])=2,Term4_Day_1[[#This Row],[Elapsed]],0))</f>
        <v/>
      </c>
      <c r="I24" s="135"/>
      <c r="J24" s="135"/>
      <c r="K24" s="102"/>
      <c r="L24" s="105" t="str">
        <f>IF(OR(ISBLANK(Term4_Day_2[[#This Row],[Start]]),ISBLANK(Term4_Day_2[[#This Row],[End]])),"",(Term4_Day_2[[#This Row],[End]]-Term4_Day_2[[#This Row],[Start]])*1440)</f>
        <v/>
      </c>
      <c r="M24" s="105" t="str">
        <f>IF(ISBLANK(Term4_Day_2[[#This Row],[Activity]]),"",IF(_xlfn.XLOOKUP(Term4_Day_2[[#This Row],[Activity]],Types_of_Activity[Type of Activity],Types_of_Activity[Classification])=1,Term4_Day_2[[#This Row],[Elapsed]],0))</f>
        <v/>
      </c>
      <c r="N24" s="105" t="str">
        <f>IF(ISBLANK(Term4_Day_2[[#This Row],[Activity]]),"",IF(_xlfn.XLOOKUP(Term4_Day_2[[#This Row],[Activity]],Types_of_Activity[Type of Activity],Types_of_Activity[Classification])=2,Term4_Day_2[[#This Row],[Elapsed]],0))</f>
        <v/>
      </c>
      <c r="P24" s="135"/>
      <c r="Q24" s="135"/>
      <c r="R24" s="102"/>
      <c r="S24" s="105" t="str">
        <f>IF(OR(ISBLANK(Term4_Day_3[[#This Row],[Start]]),ISBLANK(Term4_Day_3[[#This Row],[End]])),"",(Term4_Day_3[[#This Row],[End]]-Term4_Day_3[[#This Row],[Start]])*1440)</f>
        <v/>
      </c>
      <c r="T24" s="105" t="str">
        <f>IF(ISBLANK(Term4_Day_3[[#This Row],[Activity]]),"",IF(_xlfn.XLOOKUP(Term4_Day_3[[#This Row],[Activity]],Types_of_Activity[Type of Activity],Types_of_Activity[Classification])=1,Term4_Day_3[[#This Row],[Elapsed]],0))</f>
        <v/>
      </c>
      <c r="U24" s="105" t="str">
        <f>IF(ISBLANK(Term4_Day_3[[#This Row],[Activity]]),"",IF(_xlfn.XLOOKUP(Term4_Day_3[[#This Row],[Activity]],Types_of_Activity[Type of Activity],Types_of_Activity[Classification])=2,Term4_Day_3[[#This Row],[Elapsed]],0))</f>
        <v/>
      </c>
      <c r="W24" s="135"/>
      <c r="X24" s="135"/>
      <c r="Y24" s="102"/>
      <c r="Z24" s="105" t="str">
        <f>IF(OR(ISBLANK(Term4_Day_4[[#This Row],[Start]]),ISBLANK(Term4_Day_4[[#This Row],[End]])),"",(Term4_Day_4[[#This Row],[End]]-Term4_Day_4[[#This Row],[Start]])*1440)</f>
        <v/>
      </c>
      <c r="AA24" s="105" t="str">
        <f>IF(ISBLANK(Term4_Day_4[[#This Row],[Activity]]),"",IF(_xlfn.XLOOKUP(Term4_Day_4[[#This Row],[Activity]],Types_of_Activity[Type of Activity],Types_of_Activity[Classification])=1,Term4_Day_4[[#This Row],[Elapsed]],0))</f>
        <v/>
      </c>
      <c r="AB24" s="105" t="str">
        <f>IF(ISBLANK(Term4_Day_4[[#This Row],[Activity]]),"",IF(_xlfn.XLOOKUP(Term4_Day_4[[#This Row],[Activity]],Types_of_Activity[Type of Activity],Types_of_Activity[Classification])=2,Term4_Day_4[[#This Row],[Elapsed]],0))</f>
        <v/>
      </c>
      <c r="AD24" s="135"/>
      <c r="AE24" s="135"/>
      <c r="AF24" s="102"/>
      <c r="AG24" s="105" t="str">
        <f>IF(OR(ISBLANK(Term4_Day_5[[#This Row],[Start]]),ISBLANK(Term4_Day_5[[#This Row],[End]])),"",(Term4_Day_5[[#This Row],[End]]-Term4_Day_5[[#This Row],[Start]])*1440)</f>
        <v/>
      </c>
      <c r="AH24" s="105" t="str">
        <f>IF(ISBLANK(Term4_Day_5[[#This Row],[Activity]]),"",IF(_xlfn.XLOOKUP(Term4_Day_5[[#This Row],[Activity]],Types_of_Activity[Type of Activity],Types_of_Activity[Classification])=1,Term4_Day_5[[#This Row],[Elapsed]],0))</f>
        <v/>
      </c>
      <c r="AI24" s="105" t="str">
        <f>IF(ISBLANK(Term4_Day_5[[#This Row],[Activity]]),"",IF(_xlfn.XLOOKUP(Term4_Day_5[[#This Row],[Activity]],Types_of_Activity[Type of Activity],Types_of_Activity[Classification])=2,Term4_Day_5[[#This Row],[Elapsed]],0))</f>
        <v/>
      </c>
      <c r="AJ24" s="106"/>
      <c r="AK24" s="135"/>
      <c r="AL24" s="135"/>
      <c r="AM24" s="102"/>
      <c r="AN24" s="105" t="str">
        <f>IF(OR(ISBLANK(Term4_Day_6[[#This Row],[Start]]),ISBLANK(Term4_Day_6[[#This Row],[End]])),"",(Term4_Day_6[[#This Row],[End]]-Term4_Day_6[[#This Row],[Start]])*1440)</f>
        <v/>
      </c>
      <c r="AO24" s="105" t="str">
        <f>IF(ISBLANK(Term4_Day_6[[#This Row],[Activity]]),"",IF(_xlfn.XLOOKUP(Term4_Day_6[[#This Row],[Activity]],Types_of_Activity[Type of Activity],Types_of_Activity[Classification])=1,Term4_Day_6[[#This Row],[Elapsed]],0))</f>
        <v/>
      </c>
      <c r="AP24" s="105" t="str">
        <f>IF(ISBLANK(Term4_Day_6[[#This Row],[Activity]]),"",IF(_xlfn.XLOOKUP(Term4_Day_6[[#This Row],[Activity]],Types_of_Activity[Type of Activity],Types_of_Activity[Classification])=2,Term4_Day_6[[#This Row],[Elapsed]],0))</f>
        <v/>
      </c>
      <c r="AQ24" s="106"/>
      <c r="AR24" s="135"/>
      <c r="AS24" s="135"/>
      <c r="AT24" s="102"/>
      <c r="AU24" s="105" t="str">
        <f>IF(OR(ISBLANK(Term4_Day_7[[#This Row],[Start]]),ISBLANK(Term4_Day_7[[#This Row],[End]])),"",(Term4_Day_7[[#This Row],[End]]-Term4_Day_7[[#This Row],[Start]])*1440)</f>
        <v/>
      </c>
      <c r="AV24" s="105" t="str">
        <f>IF(ISBLANK(Term4_Day_7[[#This Row],[Activity]]),"",IF(_xlfn.XLOOKUP(Term4_Day_7[[#This Row],[Activity]],Types_of_Activity[Type of Activity],Types_of_Activity[Classification])=1,Term4_Day_7[[#This Row],[Elapsed]],0))</f>
        <v/>
      </c>
      <c r="AW24" s="105" t="str">
        <f>IF(ISBLANK(Term4_Day_7[[#This Row],[Activity]]),"",IF(_xlfn.XLOOKUP(Term4_Day_7[[#This Row],[Activity]],Types_of_Activity[Type of Activity],Types_of_Activity[Classification])=2,Term4_Day_7[[#This Row],[Elapsed]],0))</f>
        <v/>
      </c>
      <c r="AX24" s="106"/>
      <c r="AY24" s="135"/>
      <c r="AZ24" s="135"/>
      <c r="BA24" s="102"/>
      <c r="BB24" s="105" t="str">
        <f>IF(OR(ISBLANK(Term4_Day_8[[#This Row],[Start]]),ISBLANK(Term4_Day_8[[#This Row],[End]])),"",(Term4_Day_8[[#This Row],[End]]-Term4_Day_8[[#This Row],[Start]])*1440)</f>
        <v/>
      </c>
      <c r="BC24" s="105" t="str">
        <f>IF(ISBLANK(Term4_Day_8[[#This Row],[Activity]]),"",IF(_xlfn.XLOOKUP(Term4_Day_8[[#This Row],[Activity]],Types_of_Activity[Type of Activity],Types_of_Activity[Classification])=1,Term4_Day_8[[#This Row],[Elapsed]],0))</f>
        <v/>
      </c>
      <c r="BD24" s="105" t="str">
        <f>IF(ISBLANK(Term4_Day_8[[#This Row],[Activity]]),"",IF(_xlfn.XLOOKUP(Term4_Day_8[[#This Row],[Activity]],Types_of_Activity[Type of Activity],Types_of_Activity[Classification])=2,Term4_Day_8[[#This Row],[Elapsed]],0))</f>
        <v/>
      </c>
      <c r="BE24" s="106"/>
      <c r="BF24" s="135"/>
      <c r="BG24" s="135"/>
      <c r="BH24" s="102"/>
      <c r="BI24" s="105" t="str">
        <f>IF(OR(ISBLANK(Term4_Day_9[[#This Row],[Start]]),ISBLANK(Term4_Day_9[[#This Row],[End]])),"",(Term4_Day_9[[#This Row],[End]]-Term4_Day_9[[#This Row],[Start]])*1440)</f>
        <v/>
      </c>
      <c r="BJ24" s="105" t="str">
        <f>IF(ISBLANK(Term4_Day_9[[#This Row],[Activity]]),"",IF(_xlfn.XLOOKUP(Term4_Day_9[[#This Row],[Activity]],Types_of_Activity[Type of Activity],Types_of_Activity[Classification])=1,Term4_Day_9[[#This Row],[Elapsed]],0))</f>
        <v/>
      </c>
      <c r="BK24" s="105" t="str">
        <f>IF(ISBLANK(Term4_Day_9[[#This Row],[Activity]]),"",IF(_xlfn.XLOOKUP(Term4_Day_9[[#This Row],[Activity]],Types_of_Activity[Type of Activity],Types_of_Activity[Classification])=2,Term4_Day_9[[#This Row],[Elapsed]],0))</f>
        <v/>
      </c>
      <c r="BL24" s="106"/>
      <c r="BM24" s="135"/>
      <c r="BN24" s="135"/>
      <c r="BO24" s="102"/>
      <c r="BP24" s="105" t="str">
        <f>IF(OR(ISBLANK(Term4_Day_10[[#This Row],[Start]]),ISBLANK(Term4_Day_10[[#This Row],[End]])),"",(Term4_Day_10[[#This Row],[End]]-Term4_Day_10[[#This Row],[Start]])*1440)</f>
        <v/>
      </c>
      <c r="BQ24" s="105" t="str">
        <f>IF(ISBLANK(Term4_Day_10[[#This Row],[Activity]]),"",IF(_xlfn.XLOOKUP(Term4_Day_10[[#This Row],[Activity]],Types_of_Activity[Type of Activity],Types_of_Activity[Classification])=1,Term4_Day_10[[#This Row],[Elapsed]],0))</f>
        <v/>
      </c>
      <c r="BR24" s="105" t="str">
        <f>IF(ISBLANK(Term4_Day_10[[#This Row],[Activity]]),"",IF(_xlfn.XLOOKUP(Term4_Day_10[[#This Row],[Activity]],Types_of_Activity[Type of Activity],Types_of_Activity[Classification])=2,Term4_Day_10[[#This Row],[Elapsed]],0))</f>
        <v/>
      </c>
      <c r="BS24" s="106"/>
    </row>
    <row r="25" spans="2:71" x14ac:dyDescent="0.3">
      <c r="B25" s="135"/>
      <c r="C25" s="135"/>
      <c r="D25" s="102"/>
      <c r="E25" s="105" t="str">
        <f>IF(OR(ISBLANK(Term4_Day_1[[#This Row],[Start]]),ISBLANK(Term4_Day_1[[#This Row],[End]])),"",(Term4_Day_1[[#This Row],[End]]-Term4_Day_1[[#This Row],[Start]])*1440)</f>
        <v/>
      </c>
      <c r="F25" s="105" t="str">
        <f>IF(ISBLANK(Term4_Day_1[[#This Row],[Activity]]),"",IF(_xlfn.XLOOKUP(Term4_Day_1[[#This Row],[Activity]],Types_of_Activity[Type of Activity],Types_of_Activity[Classification])=1,Term4_Day_1[[#This Row],[Elapsed]],0))</f>
        <v/>
      </c>
      <c r="G25" s="105" t="str">
        <f>IF(ISBLANK(Term4_Day_1[[#This Row],[Activity]]),"",IF(_xlfn.XLOOKUP(Term4_Day_1[[#This Row],[Activity]],Types_of_Activity[Type of Activity],Types_of_Activity[Classification])=2,Term4_Day_1[[#This Row],[Elapsed]],0))</f>
        <v/>
      </c>
      <c r="I25" s="135"/>
      <c r="J25" s="135"/>
      <c r="K25" s="102"/>
      <c r="L25" s="105" t="str">
        <f>IF(OR(ISBLANK(Term4_Day_2[[#This Row],[Start]]),ISBLANK(Term4_Day_2[[#This Row],[End]])),"",(Term4_Day_2[[#This Row],[End]]-Term4_Day_2[[#This Row],[Start]])*1440)</f>
        <v/>
      </c>
      <c r="M25" s="105" t="str">
        <f>IF(ISBLANK(Term4_Day_2[[#This Row],[Activity]]),"",IF(_xlfn.XLOOKUP(Term4_Day_2[[#This Row],[Activity]],Types_of_Activity[Type of Activity],Types_of_Activity[Classification])=1,Term4_Day_2[[#This Row],[Elapsed]],0))</f>
        <v/>
      </c>
      <c r="N25" s="105" t="str">
        <f>IF(ISBLANK(Term4_Day_2[[#This Row],[Activity]]),"",IF(_xlfn.XLOOKUP(Term4_Day_2[[#This Row],[Activity]],Types_of_Activity[Type of Activity],Types_of_Activity[Classification])=2,Term4_Day_2[[#This Row],[Elapsed]],0))</f>
        <v/>
      </c>
      <c r="P25" s="135"/>
      <c r="Q25" s="135"/>
      <c r="R25" s="102"/>
      <c r="S25" s="105" t="str">
        <f>IF(OR(ISBLANK(Term4_Day_3[[#This Row],[Start]]),ISBLANK(Term4_Day_3[[#This Row],[End]])),"",(Term4_Day_3[[#This Row],[End]]-Term4_Day_3[[#This Row],[Start]])*1440)</f>
        <v/>
      </c>
      <c r="T25" s="105" t="str">
        <f>IF(ISBLANK(Term4_Day_3[[#This Row],[Activity]]),"",IF(_xlfn.XLOOKUP(Term4_Day_3[[#This Row],[Activity]],Types_of_Activity[Type of Activity],Types_of_Activity[Classification])=1,Term4_Day_3[[#This Row],[Elapsed]],0))</f>
        <v/>
      </c>
      <c r="U25" s="105" t="str">
        <f>IF(ISBLANK(Term4_Day_3[[#This Row],[Activity]]),"",IF(_xlfn.XLOOKUP(Term4_Day_3[[#This Row],[Activity]],Types_of_Activity[Type of Activity],Types_of_Activity[Classification])=2,Term4_Day_3[[#This Row],[Elapsed]],0))</f>
        <v/>
      </c>
      <c r="W25" s="135"/>
      <c r="X25" s="135"/>
      <c r="Y25" s="102"/>
      <c r="Z25" s="105" t="str">
        <f>IF(OR(ISBLANK(Term4_Day_4[[#This Row],[Start]]),ISBLANK(Term4_Day_4[[#This Row],[End]])),"",(Term4_Day_4[[#This Row],[End]]-Term4_Day_4[[#This Row],[Start]])*1440)</f>
        <v/>
      </c>
      <c r="AA25" s="105" t="str">
        <f>IF(ISBLANK(Term4_Day_4[[#This Row],[Activity]]),"",IF(_xlfn.XLOOKUP(Term4_Day_4[[#This Row],[Activity]],Types_of_Activity[Type of Activity],Types_of_Activity[Classification])=1,Term4_Day_4[[#This Row],[Elapsed]],0))</f>
        <v/>
      </c>
      <c r="AB25" s="105" t="str">
        <f>IF(ISBLANK(Term4_Day_4[[#This Row],[Activity]]),"",IF(_xlfn.XLOOKUP(Term4_Day_4[[#This Row],[Activity]],Types_of_Activity[Type of Activity],Types_of_Activity[Classification])=2,Term4_Day_4[[#This Row],[Elapsed]],0))</f>
        <v/>
      </c>
      <c r="AD25" s="135"/>
      <c r="AE25" s="135"/>
      <c r="AF25" s="102"/>
      <c r="AG25" s="105" t="str">
        <f>IF(OR(ISBLANK(Term4_Day_5[[#This Row],[Start]]),ISBLANK(Term4_Day_5[[#This Row],[End]])),"",(Term4_Day_5[[#This Row],[End]]-Term4_Day_5[[#This Row],[Start]])*1440)</f>
        <v/>
      </c>
      <c r="AH25" s="105" t="str">
        <f>IF(ISBLANK(Term4_Day_5[[#This Row],[Activity]]),"",IF(_xlfn.XLOOKUP(Term4_Day_5[[#This Row],[Activity]],Types_of_Activity[Type of Activity],Types_of_Activity[Classification])=1,Term4_Day_5[[#This Row],[Elapsed]],0))</f>
        <v/>
      </c>
      <c r="AI25" s="105" t="str">
        <f>IF(ISBLANK(Term4_Day_5[[#This Row],[Activity]]),"",IF(_xlfn.XLOOKUP(Term4_Day_5[[#This Row],[Activity]],Types_of_Activity[Type of Activity],Types_of_Activity[Classification])=2,Term4_Day_5[[#This Row],[Elapsed]],0))</f>
        <v/>
      </c>
      <c r="AJ25" s="106"/>
      <c r="AK25" s="135"/>
      <c r="AL25" s="135"/>
      <c r="AM25" s="102"/>
      <c r="AN25" s="105" t="str">
        <f>IF(OR(ISBLANK(Term4_Day_6[[#This Row],[Start]]),ISBLANK(Term4_Day_6[[#This Row],[End]])),"",(Term4_Day_6[[#This Row],[End]]-Term4_Day_6[[#This Row],[Start]])*1440)</f>
        <v/>
      </c>
      <c r="AO25" s="105" t="str">
        <f>IF(ISBLANK(Term4_Day_6[[#This Row],[Activity]]),"",IF(_xlfn.XLOOKUP(Term4_Day_6[[#This Row],[Activity]],Types_of_Activity[Type of Activity],Types_of_Activity[Classification])=1,Term4_Day_6[[#This Row],[Elapsed]],0))</f>
        <v/>
      </c>
      <c r="AP25" s="105" t="str">
        <f>IF(ISBLANK(Term4_Day_6[[#This Row],[Activity]]),"",IF(_xlfn.XLOOKUP(Term4_Day_6[[#This Row],[Activity]],Types_of_Activity[Type of Activity],Types_of_Activity[Classification])=2,Term4_Day_6[[#This Row],[Elapsed]],0))</f>
        <v/>
      </c>
      <c r="AQ25" s="106"/>
      <c r="AR25" s="135"/>
      <c r="AS25" s="135"/>
      <c r="AT25" s="102"/>
      <c r="AU25" s="105" t="str">
        <f>IF(OR(ISBLANK(Term4_Day_7[[#This Row],[Start]]),ISBLANK(Term4_Day_7[[#This Row],[End]])),"",(Term4_Day_7[[#This Row],[End]]-Term4_Day_7[[#This Row],[Start]])*1440)</f>
        <v/>
      </c>
      <c r="AV25" s="105" t="str">
        <f>IF(ISBLANK(Term4_Day_7[[#This Row],[Activity]]),"",IF(_xlfn.XLOOKUP(Term4_Day_7[[#This Row],[Activity]],Types_of_Activity[Type of Activity],Types_of_Activity[Classification])=1,Term4_Day_7[[#This Row],[Elapsed]],0))</f>
        <v/>
      </c>
      <c r="AW25" s="105" t="str">
        <f>IF(ISBLANK(Term4_Day_7[[#This Row],[Activity]]),"",IF(_xlfn.XLOOKUP(Term4_Day_7[[#This Row],[Activity]],Types_of_Activity[Type of Activity],Types_of_Activity[Classification])=2,Term4_Day_7[[#This Row],[Elapsed]],0))</f>
        <v/>
      </c>
      <c r="AX25" s="106"/>
      <c r="AY25" s="135"/>
      <c r="AZ25" s="135"/>
      <c r="BA25" s="102"/>
      <c r="BB25" s="105" t="str">
        <f>IF(OR(ISBLANK(Term4_Day_8[[#This Row],[Start]]),ISBLANK(Term4_Day_8[[#This Row],[End]])),"",(Term4_Day_8[[#This Row],[End]]-Term4_Day_8[[#This Row],[Start]])*1440)</f>
        <v/>
      </c>
      <c r="BC25" s="105" t="str">
        <f>IF(ISBLANK(Term4_Day_8[[#This Row],[Activity]]),"",IF(_xlfn.XLOOKUP(Term4_Day_8[[#This Row],[Activity]],Types_of_Activity[Type of Activity],Types_of_Activity[Classification])=1,Term4_Day_8[[#This Row],[Elapsed]],0))</f>
        <v/>
      </c>
      <c r="BD25" s="105" t="str">
        <f>IF(ISBLANK(Term4_Day_8[[#This Row],[Activity]]),"",IF(_xlfn.XLOOKUP(Term4_Day_8[[#This Row],[Activity]],Types_of_Activity[Type of Activity],Types_of_Activity[Classification])=2,Term4_Day_8[[#This Row],[Elapsed]],0))</f>
        <v/>
      </c>
      <c r="BE25" s="106"/>
      <c r="BF25" s="135"/>
      <c r="BG25" s="135"/>
      <c r="BH25" s="102"/>
      <c r="BI25" s="105" t="str">
        <f>IF(OR(ISBLANK(Term4_Day_9[[#This Row],[Start]]),ISBLANK(Term4_Day_9[[#This Row],[End]])),"",(Term4_Day_9[[#This Row],[End]]-Term4_Day_9[[#This Row],[Start]])*1440)</f>
        <v/>
      </c>
      <c r="BJ25" s="105" t="str">
        <f>IF(ISBLANK(Term4_Day_9[[#This Row],[Activity]]),"",IF(_xlfn.XLOOKUP(Term4_Day_9[[#This Row],[Activity]],Types_of_Activity[Type of Activity],Types_of_Activity[Classification])=1,Term4_Day_9[[#This Row],[Elapsed]],0))</f>
        <v/>
      </c>
      <c r="BK25" s="105" t="str">
        <f>IF(ISBLANK(Term4_Day_9[[#This Row],[Activity]]),"",IF(_xlfn.XLOOKUP(Term4_Day_9[[#This Row],[Activity]],Types_of_Activity[Type of Activity],Types_of_Activity[Classification])=2,Term4_Day_9[[#This Row],[Elapsed]],0))</f>
        <v/>
      </c>
      <c r="BL25" s="106"/>
      <c r="BM25" s="135"/>
      <c r="BN25" s="135"/>
      <c r="BO25" s="102"/>
      <c r="BP25" s="105" t="str">
        <f>IF(OR(ISBLANK(Term4_Day_10[[#This Row],[Start]]),ISBLANK(Term4_Day_10[[#This Row],[End]])),"",(Term4_Day_10[[#This Row],[End]]-Term4_Day_10[[#This Row],[Start]])*1440)</f>
        <v/>
      </c>
      <c r="BQ25" s="105" t="str">
        <f>IF(ISBLANK(Term4_Day_10[[#This Row],[Activity]]),"",IF(_xlfn.XLOOKUP(Term4_Day_10[[#This Row],[Activity]],Types_of_Activity[Type of Activity],Types_of_Activity[Classification])=1,Term4_Day_10[[#This Row],[Elapsed]],0))</f>
        <v/>
      </c>
      <c r="BR25" s="105" t="str">
        <f>IF(ISBLANK(Term4_Day_10[[#This Row],[Activity]]),"",IF(_xlfn.XLOOKUP(Term4_Day_10[[#This Row],[Activity]],Types_of_Activity[Type of Activity],Types_of_Activity[Classification])=2,Term4_Day_10[[#This Row],[Elapsed]],0))</f>
        <v/>
      </c>
      <c r="BS25" s="106"/>
    </row>
    <row r="26" spans="2:71" x14ac:dyDescent="0.3">
      <c r="B26" s="135"/>
      <c r="C26" s="135"/>
      <c r="D26" s="102"/>
      <c r="E26" s="105" t="str">
        <f>IF(OR(ISBLANK(Term4_Day_1[[#This Row],[Start]]),ISBLANK(Term4_Day_1[[#This Row],[End]])),"",(Term4_Day_1[[#This Row],[End]]-Term4_Day_1[[#This Row],[Start]])*1440)</f>
        <v/>
      </c>
      <c r="F26" s="105" t="str">
        <f>IF(ISBLANK(Term4_Day_1[[#This Row],[Activity]]),"",IF(_xlfn.XLOOKUP(Term4_Day_1[[#This Row],[Activity]],Types_of_Activity[Type of Activity],Types_of_Activity[Classification])=1,Term4_Day_1[[#This Row],[Elapsed]],0))</f>
        <v/>
      </c>
      <c r="G26" s="105" t="str">
        <f>IF(ISBLANK(Term4_Day_1[[#This Row],[Activity]]),"",IF(_xlfn.XLOOKUP(Term4_Day_1[[#This Row],[Activity]],Types_of_Activity[Type of Activity],Types_of_Activity[Classification])=2,Term4_Day_1[[#This Row],[Elapsed]],0))</f>
        <v/>
      </c>
      <c r="I26" s="135"/>
      <c r="J26" s="135"/>
      <c r="K26" s="102"/>
      <c r="L26" s="105" t="str">
        <f>IF(OR(ISBLANK(Term4_Day_2[[#This Row],[Start]]),ISBLANK(Term4_Day_2[[#This Row],[End]])),"",(Term4_Day_2[[#This Row],[End]]-Term4_Day_2[[#This Row],[Start]])*1440)</f>
        <v/>
      </c>
      <c r="M26" s="105" t="str">
        <f>IF(ISBLANK(Term4_Day_2[[#This Row],[Activity]]),"",IF(_xlfn.XLOOKUP(Term4_Day_2[[#This Row],[Activity]],Types_of_Activity[Type of Activity],Types_of_Activity[Classification])=1,Term4_Day_2[[#This Row],[Elapsed]],0))</f>
        <v/>
      </c>
      <c r="N26" s="105" t="str">
        <f>IF(ISBLANK(Term4_Day_2[[#This Row],[Activity]]),"",IF(_xlfn.XLOOKUP(Term4_Day_2[[#This Row],[Activity]],Types_of_Activity[Type of Activity],Types_of_Activity[Classification])=2,Term4_Day_2[[#This Row],[Elapsed]],0))</f>
        <v/>
      </c>
      <c r="P26" s="135"/>
      <c r="Q26" s="135"/>
      <c r="R26" s="102"/>
      <c r="S26" s="105" t="str">
        <f>IF(OR(ISBLANK(Term4_Day_3[[#This Row],[Start]]),ISBLANK(Term4_Day_3[[#This Row],[End]])),"",(Term4_Day_3[[#This Row],[End]]-Term4_Day_3[[#This Row],[Start]])*1440)</f>
        <v/>
      </c>
      <c r="T26" s="105" t="str">
        <f>IF(ISBLANK(Term4_Day_3[[#This Row],[Activity]]),"",IF(_xlfn.XLOOKUP(Term4_Day_3[[#This Row],[Activity]],Types_of_Activity[Type of Activity],Types_of_Activity[Classification])=1,Term4_Day_3[[#This Row],[Elapsed]],0))</f>
        <v/>
      </c>
      <c r="U26" s="105" t="str">
        <f>IF(ISBLANK(Term4_Day_3[[#This Row],[Activity]]),"",IF(_xlfn.XLOOKUP(Term4_Day_3[[#This Row],[Activity]],Types_of_Activity[Type of Activity],Types_of_Activity[Classification])=2,Term4_Day_3[[#This Row],[Elapsed]],0))</f>
        <v/>
      </c>
      <c r="W26" s="135"/>
      <c r="X26" s="135"/>
      <c r="Y26" s="102"/>
      <c r="Z26" s="105" t="str">
        <f>IF(OR(ISBLANK(Term4_Day_4[[#This Row],[Start]]),ISBLANK(Term4_Day_4[[#This Row],[End]])),"",(Term4_Day_4[[#This Row],[End]]-Term4_Day_4[[#This Row],[Start]])*1440)</f>
        <v/>
      </c>
      <c r="AA26" s="105" t="str">
        <f>IF(ISBLANK(Term4_Day_4[[#This Row],[Activity]]),"",IF(_xlfn.XLOOKUP(Term4_Day_4[[#This Row],[Activity]],Types_of_Activity[Type of Activity],Types_of_Activity[Classification])=1,Term4_Day_4[[#This Row],[Elapsed]],0))</f>
        <v/>
      </c>
      <c r="AB26" s="105" t="str">
        <f>IF(ISBLANK(Term4_Day_4[[#This Row],[Activity]]),"",IF(_xlfn.XLOOKUP(Term4_Day_4[[#This Row],[Activity]],Types_of_Activity[Type of Activity],Types_of_Activity[Classification])=2,Term4_Day_4[[#This Row],[Elapsed]],0))</f>
        <v/>
      </c>
      <c r="AD26" s="135"/>
      <c r="AE26" s="135"/>
      <c r="AF26" s="102"/>
      <c r="AG26" s="105" t="str">
        <f>IF(OR(ISBLANK(Term4_Day_5[[#This Row],[Start]]),ISBLANK(Term4_Day_5[[#This Row],[End]])),"",(Term4_Day_5[[#This Row],[End]]-Term4_Day_5[[#This Row],[Start]])*1440)</f>
        <v/>
      </c>
      <c r="AH26" s="105" t="str">
        <f>IF(ISBLANK(Term4_Day_5[[#This Row],[Activity]]),"",IF(_xlfn.XLOOKUP(Term4_Day_5[[#This Row],[Activity]],Types_of_Activity[Type of Activity],Types_of_Activity[Classification])=1,Term4_Day_5[[#This Row],[Elapsed]],0))</f>
        <v/>
      </c>
      <c r="AI26" s="105" t="str">
        <f>IF(ISBLANK(Term4_Day_5[[#This Row],[Activity]]),"",IF(_xlfn.XLOOKUP(Term4_Day_5[[#This Row],[Activity]],Types_of_Activity[Type of Activity],Types_of_Activity[Classification])=2,Term4_Day_5[[#This Row],[Elapsed]],0))</f>
        <v/>
      </c>
      <c r="AJ26" s="106"/>
      <c r="AK26" s="135"/>
      <c r="AL26" s="135"/>
      <c r="AM26" s="102"/>
      <c r="AN26" s="105" t="str">
        <f>IF(OR(ISBLANK(Term4_Day_6[[#This Row],[Start]]),ISBLANK(Term4_Day_6[[#This Row],[End]])),"",(Term4_Day_6[[#This Row],[End]]-Term4_Day_6[[#This Row],[Start]])*1440)</f>
        <v/>
      </c>
      <c r="AO26" s="105" t="str">
        <f>IF(ISBLANK(Term4_Day_6[[#This Row],[Activity]]),"",IF(_xlfn.XLOOKUP(Term4_Day_6[[#This Row],[Activity]],Types_of_Activity[Type of Activity],Types_of_Activity[Classification])=1,Term4_Day_6[[#This Row],[Elapsed]],0))</f>
        <v/>
      </c>
      <c r="AP26" s="105" t="str">
        <f>IF(ISBLANK(Term4_Day_6[[#This Row],[Activity]]),"",IF(_xlfn.XLOOKUP(Term4_Day_6[[#This Row],[Activity]],Types_of_Activity[Type of Activity],Types_of_Activity[Classification])=2,Term4_Day_6[[#This Row],[Elapsed]],0))</f>
        <v/>
      </c>
      <c r="AQ26" s="106"/>
      <c r="AR26" s="135"/>
      <c r="AS26" s="135"/>
      <c r="AT26" s="102"/>
      <c r="AU26" s="105" t="str">
        <f>IF(OR(ISBLANK(Term4_Day_7[[#This Row],[Start]]),ISBLANK(Term4_Day_7[[#This Row],[End]])),"",(Term4_Day_7[[#This Row],[End]]-Term4_Day_7[[#This Row],[Start]])*1440)</f>
        <v/>
      </c>
      <c r="AV26" s="105" t="str">
        <f>IF(ISBLANK(Term4_Day_7[[#This Row],[Activity]]),"",IF(_xlfn.XLOOKUP(Term4_Day_7[[#This Row],[Activity]],Types_of_Activity[Type of Activity],Types_of_Activity[Classification])=1,Term4_Day_7[[#This Row],[Elapsed]],0))</f>
        <v/>
      </c>
      <c r="AW26" s="105" t="str">
        <f>IF(ISBLANK(Term4_Day_7[[#This Row],[Activity]]),"",IF(_xlfn.XLOOKUP(Term4_Day_7[[#This Row],[Activity]],Types_of_Activity[Type of Activity],Types_of_Activity[Classification])=2,Term4_Day_7[[#This Row],[Elapsed]],0))</f>
        <v/>
      </c>
      <c r="AX26" s="106"/>
      <c r="AY26" s="135"/>
      <c r="AZ26" s="135"/>
      <c r="BA26" s="102"/>
      <c r="BB26" s="105" t="str">
        <f>IF(OR(ISBLANK(Term4_Day_8[[#This Row],[Start]]),ISBLANK(Term4_Day_8[[#This Row],[End]])),"",(Term4_Day_8[[#This Row],[End]]-Term4_Day_8[[#This Row],[Start]])*1440)</f>
        <v/>
      </c>
      <c r="BC26" s="105" t="str">
        <f>IF(ISBLANK(Term4_Day_8[[#This Row],[Activity]]),"",IF(_xlfn.XLOOKUP(Term4_Day_8[[#This Row],[Activity]],Types_of_Activity[Type of Activity],Types_of_Activity[Classification])=1,Term4_Day_8[[#This Row],[Elapsed]],0))</f>
        <v/>
      </c>
      <c r="BD26" s="105" t="str">
        <f>IF(ISBLANK(Term4_Day_8[[#This Row],[Activity]]),"",IF(_xlfn.XLOOKUP(Term4_Day_8[[#This Row],[Activity]],Types_of_Activity[Type of Activity],Types_of_Activity[Classification])=2,Term4_Day_8[[#This Row],[Elapsed]],0))</f>
        <v/>
      </c>
      <c r="BE26" s="106"/>
      <c r="BF26" s="135"/>
      <c r="BG26" s="135"/>
      <c r="BH26" s="102"/>
      <c r="BI26" s="105" t="str">
        <f>IF(OR(ISBLANK(Term4_Day_9[[#This Row],[Start]]),ISBLANK(Term4_Day_9[[#This Row],[End]])),"",(Term4_Day_9[[#This Row],[End]]-Term4_Day_9[[#This Row],[Start]])*1440)</f>
        <v/>
      </c>
      <c r="BJ26" s="105" t="str">
        <f>IF(ISBLANK(Term4_Day_9[[#This Row],[Activity]]),"",IF(_xlfn.XLOOKUP(Term4_Day_9[[#This Row],[Activity]],Types_of_Activity[Type of Activity],Types_of_Activity[Classification])=1,Term4_Day_9[[#This Row],[Elapsed]],0))</f>
        <v/>
      </c>
      <c r="BK26" s="105" t="str">
        <f>IF(ISBLANK(Term4_Day_9[[#This Row],[Activity]]),"",IF(_xlfn.XLOOKUP(Term4_Day_9[[#This Row],[Activity]],Types_of_Activity[Type of Activity],Types_of_Activity[Classification])=2,Term4_Day_9[[#This Row],[Elapsed]],0))</f>
        <v/>
      </c>
      <c r="BL26" s="106"/>
      <c r="BM26" s="135"/>
      <c r="BN26" s="135"/>
      <c r="BO26" s="102"/>
      <c r="BP26" s="105" t="str">
        <f>IF(OR(ISBLANK(Term4_Day_10[[#This Row],[Start]]),ISBLANK(Term4_Day_10[[#This Row],[End]])),"",(Term4_Day_10[[#This Row],[End]]-Term4_Day_10[[#This Row],[Start]])*1440)</f>
        <v/>
      </c>
      <c r="BQ26" s="105" t="str">
        <f>IF(ISBLANK(Term4_Day_10[[#This Row],[Activity]]),"",IF(_xlfn.XLOOKUP(Term4_Day_10[[#This Row],[Activity]],Types_of_Activity[Type of Activity],Types_of_Activity[Classification])=1,Term4_Day_10[[#This Row],[Elapsed]],0))</f>
        <v/>
      </c>
      <c r="BR26" s="105" t="str">
        <f>IF(ISBLANK(Term4_Day_10[[#This Row],[Activity]]),"",IF(_xlfn.XLOOKUP(Term4_Day_10[[#This Row],[Activity]],Types_of_Activity[Type of Activity],Types_of_Activity[Classification])=2,Term4_Day_10[[#This Row],[Elapsed]],0))</f>
        <v/>
      </c>
      <c r="BS26" s="106"/>
    </row>
    <row r="27" spans="2:71" x14ac:dyDescent="0.3">
      <c r="B27" s="135"/>
      <c r="C27" s="135"/>
      <c r="D27" s="102"/>
      <c r="E27" s="105" t="str">
        <f>IF(OR(ISBLANK(Term4_Day_1[[#This Row],[Start]]),ISBLANK(Term4_Day_1[[#This Row],[End]])),"",(Term4_Day_1[[#This Row],[End]]-Term4_Day_1[[#This Row],[Start]])*1440)</f>
        <v/>
      </c>
      <c r="F27" s="105" t="str">
        <f>IF(ISBLANK(Term4_Day_1[[#This Row],[Activity]]),"",IF(_xlfn.XLOOKUP(Term4_Day_1[[#This Row],[Activity]],Types_of_Activity[Type of Activity],Types_of_Activity[Classification])=1,Term4_Day_1[[#This Row],[Elapsed]],0))</f>
        <v/>
      </c>
      <c r="G27" s="105" t="str">
        <f>IF(ISBLANK(Term4_Day_1[[#This Row],[Activity]]),"",IF(_xlfn.XLOOKUP(Term4_Day_1[[#This Row],[Activity]],Types_of_Activity[Type of Activity],Types_of_Activity[Classification])=2,Term4_Day_1[[#This Row],[Elapsed]],0))</f>
        <v/>
      </c>
      <c r="I27" s="135"/>
      <c r="J27" s="135"/>
      <c r="K27" s="102"/>
      <c r="L27" s="105" t="str">
        <f>IF(OR(ISBLANK(Term4_Day_2[[#This Row],[Start]]),ISBLANK(Term4_Day_2[[#This Row],[End]])),"",(Term4_Day_2[[#This Row],[End]]-Term4_Day_2[[#This Row],[Start]])*1440)</f>
        <v/>
      </c>
      <c r="M27" s="105" t="str">
        <f>IF(ISBLANK(Term4_Day_2[[#This Row],[Activity]]),"",IF(_xlfn.XLOOKUP(Term4_Day_2[[#This Row],[Activity]],Types_of_Activity[Type of Activity],Types_of_Activity[Classification])=1,Term4_Day_2[[#This Row],[Elapsed]],0))</f>
        <v/>
      </c>
      <c r="N27" s="105" t="str">
        <f>IF(ISBLANK(Term4_Day_2[[#This Row],[Activity]]),"",IF(_xlfn.XLOOKUP(Term4_Day_2[[#This Row],[Activity]],Types_of_Activity[Type of Activity],Types_of_Activity[Classification])=2,Term4_Day_2[[#This Row],[Elapsed]],0))</f>
        <v/>
      </c>
      <c r="P27" s="135"/>
      <c r="Q27" s="135"/>
      <c r="R27" s="102"/>
      <c r="S27" s="105" t="str">
        <f>IF(OR(ISBLANK(Term4_Day_3[[#This Row],[Start]]),ISBLANK(Term4_Day_3[[#This Row],[End]])),"",(Term4_Day_3[[#This Row],[End]]-Term4_Day_3[[#This Row],[Start]])*1440)</f>
        <v/>
      </c>
      <c r="T27" s="105" t="str">
        <f>IF(ISBLANK(Term4_Day_3[[#This Row],[Activity]]),"",IF(_xlfn.XLOOKUP(Term4_Day_3[[#This Row],[Activity]],Types_of_Activity[Type of Activity],Types_of_Activity[Classification])=1,Term4_Day_3[[#This Row],[Elapsed]],0))</f>
        <v/>
      </c>
      <c r="U27" s="105" t="str">
        <f>IF(ISBLANK(Term4_Day_3[[#This Row],[Activity]]),"",IF(_xlfn.XLOOKUP(Term4_Day_3[[#This Row],[Activity]],Types_of_Activity[Type of Activity],Types_of_Activity[Classification])=2,Term4_Day_3[[#This Row],[Elapsed]],0))</f>
        <v/>
      </c>
      <c r="W27" s="135"/>
      <c r="X27" s="135"/>
      <c r="Y27" s="102"/>
      <c r="Z27" s="105" t="str">
        <f>IF(OR(ISBLANK(Term4_Day_4[[#This Row],[Start]]),ISBLANK(Term4_Day_4[[#This Row],[End]])),"",(Term4_Day_4[[#This Row],[End]]-Term4_Day_4[[#This Row],[Start]])*1440)</f>
        <v/>
      </c>
      <c r="AA27" s="105" t="str">
        <f>IF(ISBLANK(Term4_Day_4[[#This Row],[Activity]]),"",IF(_xlfn.XLOOKUP(Term4_Day_4[[#This Row],[Activity]],Types_of_Activity[Type of Activity],Types_of_Activity[Classification])=1,Term4_Day_4[[#This Row],[Elapsed]],0))</f>
        <v/>
      </c>
      <c r="AB27" s="105" t="str">
        <f>IF(ISBLANK(Term4_Day_4[[#This Row],[Activity]]),"",IF(_xlfn.XLOOKUP(Term4_Day_4[[#This Row],[Activity]],Types_of_Activity[Type of Activity],Types_of_Activity[Classification])=2,Term4_Day_4[[#This Row],[Elapsed]],0))</f>
        <v/>
      </c>
      <c r="AD27" s="135"/>
      <c r="AE27" s="135"/>
      <c r="AF27" s="102"/>
      <c r="AG27" s="105" t="str">
        <f>IF(OR(ISBLANK(Term4_Day_5[[#This Row],[Start]]),ISBLANK(Term4_Day_5[[#This Row],[End]])),"",(Term4_Day_5[[#This Row],[End]]-Term4_Day_5[[#This Row],[Start]])*1440)</f>
        <v/>
      </c>
      <c r="AH27" s="105" t="str">
        <f>IF(ISBLANK(Term4_Day_5[[#This Row],[Activity]]),"",IF(_xlfn.XLOOKUP(Term4_Day_5[[#This Row],[Activity]],Types_of_Activity[Type of Activity],Types_of_Activity[Classification])=1,Term4_Day_5[[#This Row],[Elapsed]],0))</f>
        <v/>
      </c>
      <c r="AI27" s="105" t="str">
        <f>IF(ISBLANK(Term4_Day_5[[#This Row],[Activity]]),"",IF(_xlfn.XLOOKUP(Term4_Day_5[[#This Row],[Activity]],Types_of_Activity[Type of Activity],Types_of_Activity[Classification])=2,Term4_Day_5[[#This Row],[Elapsed]],0))</f>
        <v/>
      </c>
      <c r="AJ27" s="106"/>
      <c r="AK27" s="135"/>
      <c r="AL27" s="135"/>
      <c r="AM27" s="102"/>
      <c r="AN27" s="105" t="str">
        <f>IF(OR(ISBLANK(Term4_Day_6[[#This Row],[Start]]),ISBLANK(Term4_Day_6[[#This Row],[End]])),"",(Term4_Day_6[[#This Row],[End]]-Term4_Day_6[[#This Row],[Start]])*1440)</f>
        <v/>
      </c>
      <c r="AO27" s="105" t="str">
        <f>IF(ISBLANK(Term4_Day_6[[#This Row],[Activity]]),"",IF(_xlfn.XLOOKUP(Term4_Day_6[[#This Row],[Activity]],Types_of_Activity[Type of Activity],Types_of_Activity[Classification])=1,Term4_Day_6[[#This Row],[Elapsed]],0))</f>
        <v/>
      </c>
      <c r="AP27" s="105" t="str">
        <f>IF(ISBLANK(Term4_Day_6[[#This Row],[Activity]]),"",IF(_xlfn.XLOOKUP(Term4_Day_6[[#This Row],[Activity]],Types_of_Activity[Type of Activity],Types_of_Activity[Classification])=2,Term4_Day_6[[#This Row],[Elapsed]],0))</f>
        <v/>
      </c>
      <c r="AQ27" s="106"/>
      <c r="AR27" s="135"/>
      <c r="AS27" s="135"/>
      <c r="AT27" s="102"/>
      <c r="AU27" s="105" t="str">
        <f>IF(OR(ISBLANK(Term4_Day_7[[#This Row],[Start]]),ISBLANK(Term4_Day_7[[#This Row],[End]])),"",(Term4_Day_7[[#This Row],[End]]-Term4_Day_7[[#This Row],[Start]])*1440)</f>
        <v/>
      </c>
      <c r="AV27" s="105" t="str">
        <f>IF(ISBLANK(Term4_Day_7[[#This Row],[Activity]]),"",IF(_xlfn.XLOOKUP(Term4_Day_7[[#This Row],[Activity]],Types_of_Activity[Type of Activity],Types_of_Activity[Classification])=1,Term4_Day_7[[#This Row],[Elapsed]],0))</f>
        <v/>
      </c>
      <c r="AW27" s="105" t="str">
        <f>IF(ISBLANK(Term4_Day_7[[#This Row],[Activity]]),"",IF(_xlfn.XLOOKUP(Term4_Day_7[[#This Row],[Activity]],Types_of_Activity[Type of Activity],Types_of_Activity[Classification])=2,Term4_Day_7[[#This Row],[Elapsed]],0))</f>
        <v/>
      </c>
      <c r="AX27" s="106"/>
      <c r="AY27" s="135"/>
      <c r="AZ27" s="135"/>
      <c r="BA27" s="102"/>
      <c r="BB27" s="105" t="str">
        <f>IF(OR(ISBLANK(Term4_Day_8[[#This Row],[Start]]),ISBLANK(Term4_Day_8[[#This Row],[End]])),"",(Term4_Day_8[[#This Row],[End]]-Term4_Day_8[[#This Row],[Start]])*1440)</f>
        <v/>
      </c>
      <c r="BC27" s="105" t="str">
        <f>IF(ISBLANK(Term4_Day_8[[#This Row],[Activity]]),"",IF(_xlfn.XLOOKUP(Term4_Day_8[[#This Row],[Activity]],Types_of_Activity[Type of Activity],Types_of_Activity[Classification])=1,Term4_Day_8[[#This Row],[Elapsed]],0))</f>
        <v/>
      </c>
      <c r="BD27" s="105" t="str">
        <f>IF(ISBLANK(Term4_Day_8[[#This Row],[Activity]]),"",IF(_xlfn.XLOOKUP(Term4_Day_8[[#This Row],[Activity]],Types_of_Activity[Type of Activity],Types_of_Activity[Classification])=2,Term4_Day_8[[#This Row],[Elapsed]],0))</f>
        <v/>
      </c>
      <c r="BE27" s="106"/>
      <c r="BF27" s="135"/>
      <c r="BG27" s="135"/>
      <c r="BH27" s="102"/>
      <c r="BI27" s="105" t="str">
        <f>IF(OR(ISBLANK(Term4_Day_9[[#This Row],[Start]]),ISBLANK(Term4_Day_9[[#This Row],[End]])),"",(Term4_Day_9[[#This Row],[End]]-Term4_Day_9[[#This Row],[Start]])*1440)</f>
        <v/>
      </c>
      <c r="BJ27" s="105" t="str">
        <f>IF(ISBLANK(Term4_Day_9[[#This Row],[Activity]]),"",IF(_xlfn.XLOOKUP(Term4_Day_9[[#This Row],[Activity]],Types_of_Activity[Type of Activity],Types_of_Activity[Classification])=1,Term4_Day_9[[#This Row],[Elapsed]],0))</f>
        <v/>
      </c>
      <c r="BK27" s="105" t="str">
        <f>IF(ISBLANK(Term4_Day_9[[#This Row],[Activity]]),"",IF(_xlfn.XLOOKUP(Term4_Day_9[[#This Row],[Activity]],Types_of_Activity[Type of Activity],Types_of_Activity[Classification])=2,Term4_Day_9[[#This Row],[Elapsed]],0))</f>
        <v/>
      </c>
      <c r="BL27" s="106"/>
      <c r="BM27" s="135"/>
      <c r="BN27" s="135"/>
      <c r="BO27" s="102"/>
      <c r="BP27" s="105" t="str">
        <f>IF(OR(ISBLANK(Term4_Day_10[[#This Row],[Start]]),ISBLANK(Term4_Day_10[[#This Row],[End]])),"",(Term4_Day_10[[#This Row],[End]]-Term4_Day_10[[#This Row],[Start]])*1440)</f>
        <v/>
      </c>
      <c r="BQ27" s="105" t="str">
        <f>IF(ISBLANK(Term4_Day_10[[#This Row],[Activity]]),"",IF(_xlfn.XLOOKUP(Term4_Day_10[[#This Row],[Activity]],Types_of_Activity[Type of Activity],Types_of_Activity[Classification])=1,Term4_Day_10[[#This Row],[Elapsed]],0))</f>
        <v/>
      </c>
      <c r="BR27" s="105" t="str">
        <f>IF(ISBLANK(Term4_Day_10[[#This Row],[Activity]]),"",IF(_xlfn.XLOOKUP(Term4_Day_10[[#This Row],[Activity]],Types_of_Activity[Type of Activity],Types_of_Activity[Classification])=2,Term4_Day_10[[#This Row],[Elapsed]],0))</f>
        <v/>
      </c>
      <c r="BS27" s="106"/>
    </row>
    <row r="28" spans="2:71" x14ac:dyDescent="0.3">
      <c r="B28" s="135"/>
      <c r="C28" s="135"/>
      <c r="D28" s="102"/>
      <c r="E28" s="105" t="str">
        <f>IF(OR(ISBLANK(Term4_Day_1[[#This Row],[Start]]),ISBLANK(Term4_Day_1[[#This Row],[End]])),"",(Term4_Day_1[[#This Row],[End]]-Term4_Day_1[[#This Row],[Start]])*1440)</f>
        <v/>
      </c>
      <c r="F28" s="105" t="str">
        <f>IF(ISBLANK(Term4_Day_1[[#This Row],[Activity]]),"",IF(_xlfn.XLOOKUP(Term4_Day_1[[#This Row],[Activity]],Types_of_Activity[Type of Activity],Types_of_Activity[Classification])=1,Term4_Day_1[[#This Row],[Elapsed]],0))</f>
        <v/>
      </c>
      <c r="G28" s="105" t="str">
        <f>IF(ISBLANK(Term4_Day_1[[#This Row],[Activity]]),"",IF(_xlfn.XLOOKUP(Term4_Day_1[[#This Row],[Activity]],Types_of_Activity[Type of Activity],Types_of_Activity[Classification])=2,Term4_Day_1[[#This Row],[Elapsed]],0))</f>
        <v/>
      </c>
      <c r="I28" s="135"/>
      <c r="J28" s="135"/>
      <c r="K28" s="102"/>
      <c r="L28" s="105" t="str">
        <f>IF(OR(ISBLANK(Term4_Day_2[[#This Row],[Start]]),ISBLANK(Term4_Day_2[[#This Row],[End]])),"",(Term4_Day_2[[#This Row],[End]]-Term4_Day_2[[#This Row],[Start]])*1440)</f>
        <v/>
      </c>
      <c r="M28" s="105" t="str">
        <f>IF(ISBLANK(Term4_Day_2[[#This Row],[Activity]]),"",IF(_xlfn.XLOOKUP(Term4_Day_2[[#This Row],[Activity]],Types_of_Activity[Type of Activity],Types_of_Activity[Classification])=1,Term4_Day_2[[#This Row],[Elapsed]],0))</f>
        <v/>
      </c>
      <c r="N28" s="105" t="str">
        <f>IF(ISBLANK(Term4_Day_2[[#This Row],[Activity]]),"",IF(_xlfn.XLOOKUP(Term4_Day_2[[#This Row],[Activity]],Types_of_Activity[Type of Activity],Types_of_Activity[Classification])=2,Term4_Day_2[[#This Row],[Elapsed]],0))</f>
        <v/>
      </c>
      <c r="P28" s="135"/>
      <c r="Q28" s="135"/>
      <c r="R28" s="102"/>
      <c r="S28" s="105" t="str">
        <f>IF(OR(ISBLANK(Term4_Day_3[[#This Row],[Start]]),ISBLANK(Term4_Day_3[[#This Row],[End]])),"",(Term4_Day_3[[#This Row],[End]]-Term4_Day_3[[#This Row],[Start]])*1440)</f>
        <v/>
      </c>
      <c r="T28" s="105" t="str">
        <f>IF(ISBLANK(Term4_Day_3[[#This Row],[Activity]]),"",IF(_xlfn.XLOOKUP(Term4_Day_3[[#This Row],[Activity]],Types_of_Activity[Type of Activity],Types_of_Activity[Classification])=1,Term4_Day_3[[#This Row],[Elapsed]],0))</f>
        <v/>
      </c>
      <c r="U28" s="105" t="str">
        <f>IF(ISBLANK(Term4_Day_3[[#This Row],[Activity]]),"",IF(_xlfn.XLOOKUP(Term4_Day_3[[#This Row],[Activity]],Types_of_Activity[Type of Activity],Types_of_Activity[Classification])=2,Term4_Day_3[[#This Row],[Elapsed]],0))</f>
        <v/>
      </c>
      <c r="W28" s="135"/>
      <c r="X28" s="135"/>
      <c r="Y28" s="102"/>
      <c r="Z28" s="105" t="str">
        <f>IF(OR(ISBLANK(Term4_Day_4[[#This Row],[Start]]),ISBLANK(Term4_Day_4[[#This Row],[End]])),"",(Term4_Day_4[[#This Row],[End]]-Term4_Day_4[[#This Row],[Start]])*1440)</f>
        <v/>
      </c>
      <c r="AA28" s="105" t="str">
        <f>IF(ISBLANK(Term4_Day_4[[#This Row],[Activity]]),"",IF(_xlfn.XLOOKUP(Term4_Day_4[[#This Row],[Activity]],Types_of_Activity[Type of Activity],Types_of_Activity[Classification])=1,Term4_Day_4[[#This Row],[Elapsed]],0))</f>
        <v/>
      </c>
      <c r="AB28" s="105" t="str">
        <f>IF(ISBLANK(Term4_Day_4[[#This Row],[Activity]]),"",IF(_xlfn.XLOOKUP(Term4_Day_4[[#This Row],[Activity]],Types_of_Activity[Type of Activity],Types_of_Activity[Classification])=2,Term4_Day_4[[#This Row],[Elapsed]],0))</f>
        <v/>
      </c>
      <c r="AD28" s="135"/>
      <c r="AE28" s="135"/>
      <c r="AF28" s="102"/>
      <c r="AG28" s="105" t="str">
        <f>IF(OR(ISBLANK(Term4_Day_5[[#This Row],[Start]]),ISBLANK(Term4_Day_5[[#This Row],[End]])),"",(Term4_Day_5[[#This Row],[End]]-Term4_Day_5[[#This Row],[Start]])*1440)</f>
        <v/>
      </c>
      <c r="AH28" s="105" t="str">
        <f>IF(ISBLANK(Term4_Day_5[[#This Row],[Activity]]),"",IF(_xlfn.XLOOKUP(Term4_Day_5[[#This Row],[Activity]],Types_of_Activity[Type of Activity],Types_of_Activity[Classification])=1,Term4_Day_5[[#This Row],[Elapsed]],0))</f>
        <v/>
      </c>
      <c r="AI28" s="105" t="str">
        <f>IF(ISBLANK(Term4_Day_5[[#This Row],[Activity]]),"",IF(_xlfn.XLOOKUP(Term4_Day_5[[#This Row],[Activity]],Types_of_Activity[Type of Activity],Types_of_Activity[Classification])=2,Term4_Day_5[[#This Row],[Elapsed]],0))</f>
        <v/>
      </c>
      <c r="AJ28" s="106"/>
      <c r="AK28" s="135"/>
      <c r="AL28" s="135"/>
      <c r="AM28" s="102"/>
      <c r="AN28" s="105" t="str">
        <f>IF(OR(ISBLANK(Term4_Day_6[[#This Row],[Start]]),ISBLANK(Term4_Day_6[[#This Row],[End]])),"",(Term4_Day_6[[#This Row],[End]]-Term4_Day_6[[#This Row],[Start]])*1440)</f>
        <v/>
      </c>
      <c r="AO28" s="105" t="str">
        <f>IF(ISBLANK(Term4_Day_6[[#This Row],[Activity]]),"",IF(_xlfn.XLOOKUP(Term4_Day_6[[#This Row],[Activity]],Types_of_Activity[Type of Activity],Types_of_Activity[Classification])=1,Term4_Day_6[[#This Row],[Elapsed]],0))</f>
        <v/>
      </c>
      <c r="AP28" s="105" t="str">
        <f>IF(ISBLANK(Term4_Day_6[[#This Row],[Activity]]),"",IF(_xlfn.XLOOKUP(Term4_Day_6[[#This Row],[Activity]],Types_of_Activity[Type of Activity],Types_of_Activity[Classification])=2,Term4_Day_6[[#This Row],[Elapsed]],0))</f>
        <v/>
      </c>
      <c r="AQ28" s="106"/>
      <c r="AR28" s="135"/>
      <c r="AS28" s="135"/>
      <c r="AT28" s="102"/>
      <c r="AU28" s="105" t="str">
        <f>IF(OR(ISBLANK(Term4_Day_7[[#This Row],[Start]]),ISBLANK(Term4_Day_7[[#This Row],[End]])),"",(Term4_Day_7[[#This Row],[End]]-Term4_Day_7[[#This Row],[Start]])*1440)</f>
        <v/>
      </c>
      <c r="AV28" s="105" t="str">
        <f>IF(ISBLANK(Term4_Day_7[[#This Row],[Activity]]),"",IF(_xlfn.XLOOKUP(Term4_Day_7[[#This Row],[Activity]],Types_of_Activity[Type of Activity],Types_of_Activity[Classification])=1,Term4_Day_7[[#This Row],[Elapsed]],0))</f>
        <v/>
      </c>
      <c r="AW28" s="105" t="str">
        <f>IF(ISBLANK(Term4_Day_7[[#This Row],[Activity]]),"",IF(_xlfn.XLOOKUP(Term4_Day_7[[#This Row],[Activity]],Types_of_Activity[Type of Activity],Types_of_Activity[Classification])=2,Term4_Day_7[[#This Row],[Elapsed]],0))</f>
        <v/>
      </c>
      <c r="AX28" s="106"/>
      <c r="AY28" s="135"/>
      <c r="AZ28" s="135"/>
      <c r="BA28" s="102"/>
      <c r="BB28" s="105" t="str">
        <f>IF(OR(ISBLANK(Term4_Day_8[[#This Row],[Start]]),ISBLANK(Term4_Day_8[[#This Row],[End]])),"",(Term4_Day_8[[#This Row],[End]]-Term4_Day_8[[#This Row],[Start]])*1440)</f>
        <v/>
      </c>
      <c r="BC28" s="105" t="str">
        <f>IF(ISBLANK(Term4_Day_8[[#This Row],[Activity]]),"",IF(_xlfn.XLOOKUP(Term4_Day_8[[#This Row],[Activity]],Types_of_Activity[Type of Activity],Types_of_Activity[Classification])=1,Term4_Day_8[[#This Row],[Elapsed]],0))</f>
        <v/>
      </c>
      <c r="BD28" s="105" t="str">
        <f>IF(ISBLANK(Term4_Day_8[[#This Row],[Activity]]),"",IF(_xlfn.XLOOKUP(Term4_Day_8[[#This Row],[Activity]],Types_of_Activity[Type of Activity],Types_of_Activity[Classification])=2,Term4_Day_8[[#This Row],[Elapsed]],0))</f>
        <v/>
      </c>
      <c r="BE28" s="106"/>
      <c r="BF28" s="135"/>
      <c r="BG28" s="135"/>
      <c r="BH28" s="102"/>
      <c r="BI28" s="105" t="str">
        <f>IF(OR(ISBLANK(Term4_Day_9[[#This Row],[Start]]),ISBLANK(Term4_Day_9[[#This Row],[End]])),"",(Term4_Day_9[[#This Row],[End]]-Term4_Day_9[[#This Row],[Start]])*1440)</f>
        <v/>
      </c>
      <c r="BJ28" s="105" t="str">
        <f>IF(ISBLANK(Term4_Day_9[[#This Row],[Activity]]),"",IF(_xlfn.XLOOKUP(Term4_Day_9[[#This Row],[Activity]],Types_of_Activity[Type of Activity],Types_of_Activity[Classification])=1,Term4_Day_9[[#This Row],[Elapsed]],0))</f>
        <v/>
      </c>
      <c r="BK28" s="105" t="str">
        <f>IF(ISBLANK(Term4_Day_9[[#This Row],[Activity]]),"",IF(_xlfn.XLOOKUP(Term4_Day_9[[#This Row],[Activity]],Types_of_Activity[Type of Activity],Types_of_Activity[Classification])=2,Term4_Day_9[[#This Row],[Elapsed]],0))</f>
        <v/>
      </c>
      <c r="BL28" s="106"/>
      <c r="BM28" s="135"/>
      <c r="BN28" s="135"/>
      <c r="BO28" s="102"/>
      <c r="BP28" s="105" t="str">
        <f>IF(OR(ISBLANK(Term4_Day_10[[#This Row],[Start]]),ISBLANK(Term4_Day_10[[#This Row],[End]])),"",(Term4_Day_10[[#This Row],[End]]-Term4_Day_10[[#This Row],[Start]])*1440)</f>
        <v/>
      </c>
      <c r="BQ28" s="105" t="str">
        <f>IF(ISBLANK(Term4_Day_10[[#This Row],[Activity]]),"",IF(_xlfn.XLOOKUP(Term4_Day_10[[#This Row],[Activity]],Types_of_Activity[Type of Activity],Types_of_Activity[Classification])=1,Term4_Day_10[[#This Row],[Elapsed]],0))</f>
        <v/>
      </c>
      <c r="BR28" s="105" t="str">
        <f>IF(ISBLANK(Term4_Day_10[[#This Row],[Activity]]),"",IF(_xlfn.XLOOKUP(Term4_Day_10[[#This Row],[Activity]],Types_of_Activity[Type of Activity],Types_of_Activity[Classification])=2,Term4_Day_10[[#This Row],[Elapsed]],0))</f>
        <v/>
      </c>
      <c r="BS28" s="106"/>
    </row>
    <row r="29" spans="2:71" x14ac:dyDescent="0.3">
      <c r="B29" s="135"/>
      <c r="C29" s="135"/>
      <c r="D29" s="102"/>
      <c r="E29" s="105" t="str">
        <f>IF(OR(ISBLANK(Term4_Day_1[[#This Row],[Start]]),ISBLANK(Term4_Day_1[[#This Row],[End]])),"",(Term4_Day_1[[#This Row],[End]]-Term4_Day_1[[#This Row],[Start]])*1440)</f>
        <v/>
      </c>
      <c r="F29" s="105" t="str">
        <f>IF(ISBLANK(Term4_Day_1[[#This Row],[Activity]]),"",IF(_xlfn.XLOOKUP(Term4_Day_1[[#This Row],[Activity]],Types_of_Activity[Type of Activity],Types_of_Activity[Classification])=1,Term4_Day_1[[#This Row],[Elapsed]],0))</f>
        <v/>
      </c>
      <c r="G29" s="105" t="str">
        <f>IF(ISBLANK(Term4_Day_1[[#This Row],[Activity]]),"",IF(_xlfn.XLOOKUP(Term4_Day_1[[#This Row],[Activity]],Types_of_Activity[Type of Activity],Types_of_Activity[Classification])=2,Term4_Day_1[[#This Row],[Elapsed]],0))</f>
        <v/>
      </c>
      <c r="I29" s="135"/>
      <c r="J29" s="135"/>
      <c r="K29" s="102"/>
      <c r="L29" s="105" t="str">
        <f>IF(OR(ISBLANK(Term4_Day_2[[#This Row],[Start]]),ISBLANK(Term4_Day_2[[#This Row],[End]])),"",(Term4_Day_2[[#This Row],[End]]-Term4_Day_2[[#This Row],[Start]])*1440)</f>
        <v/>
      </c>
      <c r="M29" s="105" t="str">
        <f>IF(ISBLANK(Term4_Day_2[[#This Row],[Activity]]),"",IF(_xlfn.XLOOKUP(Term4_Day_2[[#This Row],[Activity]],Types_of_Activity[Type of Activity],Types_of_Activity[Classification])=1,Term4_Day_2[[#This Row],[Elapsed]],0))</f>
        <v/>
      </c>
      <c r="N29" s="105" t="str">
        <f>IF(ISBLANK(Term4_Day_2[[#This Row],[Activity]]),"",IF(_xlfn.XLOOKUP(Term4_Day_2[[#This Row],[Activity]],Types_of_Activity[Type of Activity],Types_of_Activity[Classification])=2,Term4_Day_2[[#This Row],[Elapsed]],0))</f>
        <v/>
      </c>
      <c r="P29" s="135"/>
      <c r="Q29" s="135"/>
      <c r="R29" s="102"/>
      <c r="S29" s="105" t="str">
        <f>IF(OR(ISBLANK(Term4_Day_3[[#This Row],[Start]]),ISBLANK(Term4_Day_3[[#This Row],[End]])),"",(Term4_Day_3[[#This Row],[End]]-Term4_Day_3[[#This Row],[Start]])*1440)</f>
        <v/>
      </c>
      <c r="T29" s="105" t="str">
        <f>IF(ISBLANK(Term4_Day_3[[#This Row],[Activity]]),"",IF(_xlfn.XLOOKUP(Term4_Day_3[[#This Row],[Activity]],Types_of_Activity[Type of Activity],Types_of_Activity[Classification])=1,Term4_Day_3[[#This Row],[Elapsed]],0))</f>
        <v/>
      </c>
      <c r="U29" s="105" t="str">
        <f>IF(ISBLANK(Term4_Day_3[[#This Row],[Activity]]),"",IF(_xlfn.XLOOKUP(Term4_Day_3[[#This Row],[Activity]],Types_of_Activity[Type of Activity],Types_of_Activity[Classification])=2,Term4_Day_3[[#This Row],[Elapsed]],0))</f>
        <v/>
      </c>
      <c r="W29" s="135"/>
      <c r="X29" s="135"/>
      <c r="Y29" s="102"/>
      <c r="Z29" s="105" t="str">
        <f>IF(OR(ISBLANK(Term4_Day_4[[#This Row],[Start]]),ISBLANK(Term4_Day_4[[#This Row],[End]])),"",(Term4_Day_4[[#This Row],[End]]-Term4_Day_4[[#This Row],[Start]])*1440)</f>
        <v/>
      </c>
      <c r="AA29" s="105" t="str">
        <f>IF(ISBLANK(Term4_Day_4[[#This Row],[Activity]]),"",IF(_xlfn.XLOOKUP(Term4_Day_4[[#This Row],[Activity]],Types_of_Activity[Type of Activity],Types_of_Activity[Classification])=1,Term4_Day_4[[#This Row],[Elapsed]],0))</f>
        <v/>
      </c>
      <c r="AB29" s="105" t="str">
        <f>IF(ISBLANK(Term4_Day_4[[#This Row],[Activity]]),"",IF(_xlfn.XLOOKUP(Term4_Day_4[[#This Row],[Activity]],Types_of_Activity[Type of Activity],Types_of_Activity[Classification])=2,Term4_Day_4[[#This Row],[Elapsed]],0))</f>
        <v/>
      </c>
      <c r="AD29" s="135"/>
      <c r="AE29" s="135"/>
      <c r="AF29" s="102"/>
      <c r="AG29" s="105" t="str">
        <f>IF(OR(ISBLANK(Term4_Day_5[[#This Row],[Start]]),ISBLANK(Term4_Day_5[[#This Row],[End]])),"",(Term4_Day_5[[#This Row],[End]]-Term4_Day_5[[#This Row],[Start]])*1440)</f>
        <v/>
      </c>
      <c r="AH29" s="105" t="str">
        <f>IF(ISBLANK(Term4_Day_5[[#This Row],[Activity]]),"",IF(_xlfn.XLOOKUP(Term4_Day_5[[#This Row],[Activity]],Types_of_Activity[Type of Activity],Types_of_Activity[Classification])=1,Term4_Day_5[[#This Row],[Elapsed]],0))</f>
        <v/>
      </c>
      <c r="AI29" s="105" t="str">
        <f>IF(ISBLANK(Term4_Day_5[[#This Row],[Activity]]),"",IF(_xlfn.XLOOKUP(Term4_Day_5[[#This Row],[Activity]],Types_of_Activity[Type of Activity],Types_of_Activity[Classification])=2,Term4_Day_5[[#This Row],[Elapsed]],0))</f>
        <v/>
      </c>
      <c r="AJ29" s="106"/>
      <c r="AK29" s="135"/>
      <c r="AL29" s="135"/>
      <c r="AM29" s="102"/>
      <c r="AN29" s="105" t="str">
        <f>IF(OR(ISBLANK(Term4_Day_6[[#This Row],[Start]]),ISBLANK(Term4_Day_6[[#This Row],[End]])),"",(Term4_Day_6[[#This Row],[End]]-Term4_Day_6[[#This Row],[Start]])*1440)</f>
        <v/>
      </c>
      <c r="AO29" s="105" t="str">
        <f>IF(ISBLANK(Term4_Day_6[[#This Row],[Activity]]),"",IF(_xlfn.XLOOKUP(Term4_Day_6[[#This Row],[Activity]],Types_of_Activity[Type of Activity],Types_of_Activity[Classification])=1,Term4_Day_6[[#This Row],[Elapsed]],0))</f>
        <v/>
      </c>
      <c r="AP29" s="105" t="str">
        <f>IF(ISBLANK(Term4_Day_6[[#This Row],[Activity]]),"",IF(_xlfn.XLOOKUP(Term4_Day_6[[#This Row],[Activity]],Types_of_Activity[Type of Activity],Types_of_Activity[Classification])=2,Term4_Day_6[[#This Row],[Elapsed]],0))</f>
        <v/>
      </c>
      <c r="AQ29" s="106"/>
      <c r="AR29" s="135"/>
      <c r="AS29" s="135"/>
      <c r="AT29" s="102"/>
      <c r="AU29" s="105" t="str">
        <f>IF(OR(ISBLANK(Term4_Day_7[[#This Row],[Start]]),ISBLANK(Term4_Day_7[[#This Row],[End]])),"",(Term4_Day_7[[#This Row],[End]]-Term4_Day_7[[#This Row],[Start]])*1440)</f>
        <v/>
      </c>
      <c r="AV29" s="105" t="str">
        <f>IF(ISBLANK(Term4_Day_7[[#This Row],[Activity]]),"",IF(_xlfn.XLOOKUP(Term4_Day_7[[#This Row],[Activity]],Types_of_Activity[Type of Activity],Types_of_Activity[Classification])=1,Term4_Day_7[[#This Row],[Elapsed]],0))</f>
        <v/>
      </c>
      <c r="AW29" s="105" t="str">
        <f>IF(ISBLANK(Term4_Day_7[[#This Row],[Activity]]),"",IF(_xlfn.XLOOKUP(Term4_Day_7[[#This Row],[Activity]],Types_of_Activity[Type of Activity],Types_of_Activity[Classification])=2,Term4_Day_7[[#This Row],[Elapsed]],0))</f>
        <v/>
      </c>
      <c r="AX29" s="106"/>
      <c r="AY29" s="135"/>
      <c r="AZ29" s="135"/>
      <c r="BA29" s="102"/>
      <c r="BB29" s="105" t="str">
        <f>IF(OR(ISBLANK(Term4_Day_8[[#This Row],[Start]]),ISBLANK(Term4_Day_8[[#This Row],[End]])),"",(Term4_Day_8[[#This Row],[End]]-Term4_Day_8[[#This Row],[Start]])*1440)</f>
        <v/>
      </c>
      <c r="BC29" s="105" t="str">
        <f>IF(ISBLANK(Term4_Day_8[[#This Row],[Activity]]),"",IF(_xlfn.XLOOKUP(Term4_Day_8[[#This Row],[Activity]],Types_of_Activity[Type of Activity],Types_of_Activity[Classification])=1,Term4_Day_8[[#This Row],[Elapsed]],0))</f>
        <v/>
      </c>
      <c r="BD29" s="105" t="str">
        <f>IF(ISBLANK(Term4_Day_8[[#This Row],[Activity]]),"",IF(_xlfn.XLOOKUP(Term4_Day_8[[#This Row],[Activity]],Types_of_Activity[Type of Activity],Types_of_Activity[Classification])=2,Term4_Day_8[[#This Row],[Elapsed]],0))</f>
        <v/>
      </c>
      <c r="BE29" s="106"/>
      <c r="BF29" s="135"/>
      <c r="BG29" s="135"/>
      <c r="BH29" s="102"/>
      <c r="BI29" s="105" t="str">
        <f>IF(OR(ISBLANK(Term4_Day_9[[#This Row],[Start]]),ISBLANK(Term4_Day_9[[#This Row],[End]])),"",(Term4_Day_9[[#This Row],[End]]-Term4_Day_9[[#This Row],[Start]])*1440)</f>
        <v/>
      </c>
      <c r="BJ29" s="105" t="str">
        <f>IF(ISBLANK(Term4_Day_9[[#This Row],[Activity]]),"",IF(_xlfn.XLOOKUP(Term4_Day_9[[#This Row],[Activity]],Types_of_Activity[Type of Activity],Types_of_Activity[Classification])=1,Term4_Day_9[[#This Row],[Elapsed]],0))</f>
        <v/>
      </c>
      <c r="BK29" s="105" t="str">
        <f>IF(ISBLANK(Term4_Day_9[[#This Row],[Activity]]),"",IF(_xlfn.XLOOKUP(Term4_Day_9[[#This Row],[Activity]],Types_of_Activity[Type of Activity],Types_of_Activity[Classification])=2,Term4_Day_9[[#This Row],[Elapsed]],0))</f>
        <v/>
      </c>
      <c r="BL29" s="106"/>
      <c r="BM29" s="135"/>
      <c r="BN29" s="135"/>
      <c r="BO29" s="102"/>
      <c r="BP29" s="105" t="str">
        <f>IF(OR(ISBLANK(Term4_Day_10[[#This Row],[Start]]),ISBLANK(Term4_Day_10[[#This Row],[End]])),"",(Term4_Day_10[[#This Row],[End]]-Term4_Day_10[[#This Row],[Start]])*1440)</f>
        <v/>
      </c>
      <c r="BQ29" s="105" t="str">
        <f>IF(ISBLANK(Term4_Day_10[[#This Row],[Activity]]),"",IF(_xlfn.XLOOKUP(Term4_Day_10[[#This Row],[Activity]],Types_of_Activity[Type of Activity],Types_of_Activity[Classification])=1,Term4_Day_10[[#This Row],[Elapsed]],0))</f>
        <v/>
      </c>
      <c r="BR29" s="105" t="str">
        <f>IF(ISBLANK(Term4_Day_10[[#This Row],[Activity]]),"",IF(_xlfn.XLOOKUP(Term4_Day_10[[#This Row],[Activity]],Types_of_Activity[Type of Activity],Types_of_Activity[Classification])=2,Term4_Day_10[[#This Row],[Elapsed]],0))</f>
        <v/>
      </c>
      <c r="BS29" s="106"/>
    </row>
    <row r="30" spans="2:71" x14ac:dyDescent="0.3">
      <c r="B30" s="135"/>
      <c r="C30" s="135"/>
      <c r="D30" s="102"/>
      <c r="E30" s="105" t="str">
        <f>IF(OR(ISBLANK(Term4_Day_1[[#This Row],[Start]]),ISBLANK(Term4_Day_1[[#This Row],[End]])),"",(Term4_Day_1[[#This Row],[End]]-Term4_Day_1[[#This Row],[Start]])*1440)</f>
        <v/>
      </c>
      <c r="F30" s="105" t="str">
        <f>IF(ISBLANK(Term4_Day_1[[#This Row],[Activity]]),"",IF(_xlfn.XLOOKUP(Term4_Day_1[[#This Row],[Activity]],Types_of_Activity[Type of Activity],Types_of_Activity[Classification])=1,Term4_Day_1[[#This Row],[Elapsed]],0))</f>
        <v/>
      </c>
      <c r="G30" s="105" t="str">
        <f>IF(ISBLANK(Term4_Day_1[[#This Row],[Activity]]),"",IF(_xlfn.XLOOKUP(Term4_Day_1[[#This Row],[Activity]],Types_of_Activity[Type of Activity],Types_of_Activity[Classification])=2,Term4_Day_1[[#This Row],[Elapsed]],0))</f>
        <v/>
      </c>
      <c r="I30" s="135"/>
      <c r="J30" s="135"/>
      <c r="K30" s="102"/>
      <c r="L30" s="105" t="str">
        <f>IF(OR(ISBLANK(Term4_Day_2[[#This Row],[Start]]),ISBLANK(Term4_Day_2[[#This Row],[End]])),"",(Term4_Day_2[[#This Row],[End]]-Term4_Day_2[[#This Row],[Start]])*1440)</f>
        <v/>
      </c>
      <c r="M30" s="105" t="str">
        <f>IF(ISBLANK(Term4_Day_2[[#This Row],[Activity]]),"",IF(_xlfn.XLOOKUP(Term4_Day_2[[#This Row],[Activity]],Types_of_Activity[Type of Activity],Types_of_Activity[Classification])=1,Term4_Day_2[[#This Row],[Elapsed]],0))</f>
        <v/>
      </c>
      <c r="N30" s="105" t="str">
        <f>IF(ISBLANK(Term4_Day_2[[#This Row],[Activity]]),"",IF(_xlfn.XLOOKUP(Term4_Day_2[[#This Row],[Activity]],Types_of_Activity[Type of Activity],Types_of_Activity[Classification])=2,Term4_Day_2[[#This Row],[Elapsed]],0))</f>
        <v/>
      </c>
      <c r="P30" s="135"/>
      <c r="Q30" s="135"/>
      <c r="R30" s="102"/>
      <c r="S30" s="105" t="str">
        <f>IF(OR(ISBLANK(Term4_Day_3[[#This Row],[Start]]),ISBLANK(Term4_Day_3[[#This Row],[End]])),"",(Term4_Day_3[[#This Row],[End]]-Term4_Day_3[[#This Row],[Start]])*1440)</f>
        <v/>
      </c>
      <c r="T30" s="105" t="str">
        <f>IF(ISBLANK(Term4_Day_3[[#This Row],[Activity]]),"",IF(_xlfn.XLOOKUP(Term4_Day_3[[#This Row],[Activity]],Types_of_Activity[Type of Activity],Types_of_Activity[Classification])=1,Term4_Day_3[[#This Row],[Elapsed]],0))</f>
        <v/>
      </c>
      <c r="U30" s="105" t="str">
        <f>IF(ISBLANK(Term4_Day_3[[#This Row],[Activity]]),"",IF(_xlfn.XLOOKUP(Term4_Day_3[[#This Row],[Activity]],Types_of_Activity[Type of Activity],Types_of_Activity[Classification])=2,Term4_Day_3[[#This Row],[Elapsed]],0))</f>
        <v/>
      </c>
      <c r="W30" s="135"/>
      <c r="X30" s="135"/>
      <c r="Y30" s="102"/>
      <c r="Z30" s="105" t="str">
        <f>IF(OR(ISBLANK(Term4_Day_4[[#This Row],[Start]]),ISBLANK(Term4_Day_4[[#This Row],[End]])),"",(Term4_Day_4[[#This Row],[End]]-Term4_Day_4[[#This Row],[Start]])*1440)</f>
        <v/>
      </c>
      <c r="AA30" s="105" t="str">
        <f>IF(ISBLANK(Term4_Day_4[[#This Row],[Activity]]),"",IF(_xlfn.XLOOKUP(Term4_Day_4[[#This Row],[Activity]],Types_of_Activity[Type of Activity],Types_of_Activity[Classification])=1,Term4_Day_4[[#This Row],[Elapsed]],0))</f>
        <v/>
      </c>
      <c r="AB30" s="105" t="str">
        <f>IF(ISBLANK(Term4_Day_4[[#This Row],[Activity]]),"",IF(_xlfn.XLOOKUP(Term4_Day_4[[#This Row],[Activity]],Types_of_Activity[Type of Activity],Types_of_Activity[Classification])=2,Term4_Day_4[[#This Row],[Elapsed]],0))</f>
        <v/>
      </c>
      <c r="AD30" s="135"/>
      <c r="AE30" s="135"/>
      <c r="AF30" s="102"/>
      <c r="AG30" s="105" t="str">
        <f>IF(OR(ISBLANK(Term4_Day_5[[#This Row],[Start]]),ISBLANK(Term4_Day_5[[#This Row],[End]])),"",(Term4_Day_5[[#This Row],[End]]-Term4_Day_5[[#This Row],[Start]])*1440)</f>
        <v/>
      </c>
      <c r="AH30" s="105" t="str">
        <f>IF(ISBLANK(Term4_Day_5[[#This Row],[Activity]]),"",IF(_xlfn.XLOOKUP(Term4_Day_5[[#This Row],[Activity]],Types_of_Activity[Type of Activity],Types_of_Activity[Classification])=1,Term4_Day_5[[#This Row],[Elapsed]],0))</f>
        <v/>
      </c>
      <c r="AI30" s="105" t="str">
        <f>IF(ISBLANK(Term4_Day_5[[#This Row],[Activity]]),"",IF(_xlfn.XLOOKUP(Term4_Day_5[[#This Row],[Activity]],Types_of_Activity[Type of Activity],Types_of_Activity[Classification])=2,Term4_Day_5[[#This Row],[Elapsed]],0))</f>
        <v/>
      </c>
      <c r="AJ30" s="106"/>
      <c r="AK30" s="135"/>
      <c r="AL30" s="135"/>
      <c r="AM30" s="102"/>
      <c r="AN30" s="105" t="str">
        <f>IF(OR(ISBLANK(Term4_Day_6[[#This Row],[Start]]),ISBLANK(Term4_Day_6[[#This Row],[End]])),"",(Term4_Day_6[[#This Row],[End]]-Term4_Day_6[[#This Row],[Start]])*1440)</f>
        <v/>
      </c>
      <c r="AO30" s="105" t="str">
        <f>IF(ISBLANK(Term4_Day_6[[#This Row],[Activity]]),"",IF(_xlfn.XLOOKUP(Term4_Day_6[[#This Row],[Activity]],Types_of_Activity[Type of Activity],Types_of_Activity[Classification])=1,Term4_Day_6[[#This Row],[Elapsed]],0))</f>
        <v/>
      </c>
      <c r="AP30" s="105" t="str">
        <f>IF(ISBLANK(Term4_Day_6[[#This Row],[Activity]]),"",IF(_xlfn.XLOOKUP(Term4_Day_6[[#This Row],[Activity]],Types_of_Activity[Type of Activity],Types_of_Activity[Classification])=2,Term4_Day_6[[#This Row],[Elapsed]],0))</f>
        <v/>
      </c>
      <c r="AQ30" s="106"/>
      <c r="AR30" s="135"/>
      <c r="AS30" s="135"/>
      <c r="AT30" s="102"/>
      <c r="AU30" s="105" t="str">
        <f>IF(OR(ISBLANK(Term4_Day_7[[#This Row],[Start]]),ISBLANK(Term4_Day_7[[#This Row],[End]])),"",(Term4_Day_7[[#This Row],[End]]-Term4_Day_7[[#This Row],[Start]])*1440)</f>
        <v/>
      </c>
      <c r="AV30" s="105" t="str">
        <f>IF(ISBLANK(Term4_Day_7[[#This Row],[Activity]]),"",IF(_xlfn.XLOOKUP(Term4_Day_7[[#This Row],[Activity]],Types_of_Activity[Type of Activity],Types_of_Activity[Classification])=1,Term4_Day_7[[#This Row],[Elapsed]],0))</f>
        <v/>
      </c>
      <c r="AW30" s="105" t="str">
        <f>IF(ISBLANK(Term4_Day_7[[#This Row],[Activity]]),"",IF(_xlfn.XLOOKUP(Term4_Day_7[[#This Row],[Activity]],Types_of_Activity[Type of Activity],Types_of_Activity[Classification])=2,Term4_Day_7[[#This Row],[Elapsed]],0))</f>
        <v/>
      </c>
      <c r="AX30" s="106"/>
      <c r="AY30" s="135"/>
      <c r="AZ30" s="135"/>
      <c r="BA30" s="102"/>
      <c r="BB30" s="105" t="str">
        <f>IF(OR(ISBLANK(Term4_Day_8[[#This Row],[Start]]),ISBLANK(Term4_Day_8[[#This Row],[End]])),"",(Term4_Day_8[[#This Row],[End]]-Term4_Day_8[[#This Row],[Start]])*1440)</f>
        <v/>
      </c>
      <c r="BC30" s="105" t="str">
        <f>IF(ISBLANK(Term4_Day_8[[#This Row],[Activity]]),"",IF(_xlfn.XLOOKUP(Term4_Day_8[[#This Row],[Activity]],Types_of_Activity[Type of Activity],Types_of_Activity[Classification])=1,Term4_Day_8[[#This Row],[Elapsed]],0))</f>
        <v/>
      </c>
      <c r="BD30" s="105" t="str">
        <f>IF(ISBLANK(Term4_Day_8[[#This Row],[Activity]]),"",IF(_xlfn.XLOOKUP(Term4_Day_8[[#This Row],[Activity]],Types_of_Activity[Type of Activity],Types_of_Activity[Classification])=2,Term4_Day_8[[#This Row],[Elapsed]],0))</f>
        <v/>
      </c>
      <c r="BE30" s="106"/>
      <c r="BF30" s="135"/>
      <c r="BG30" s="135"/>
      <c r="BH30" s="102"/>
      <c r="BI30" s="105" t="str">
        <f>IF(OR(ISBLANK(Term4_Day_9[[#This Row],[Start]]),ISBLANK(Term4_Day_9[[#This Row],[End]])),"",(Term4_Day_9[[#This Row],[End]]-Term4_Day_9[[#This Row],[Start]])*1440)</f>
        <v/>
      </c>
      <c r="BJ30" s="105" t="str">
        <f>IF(ISBLANK(Term4_Day_9[[#This Row],[Activity]]),"",IF(_xlfn.XLOOKUP(Term4_Day_9[[#This Row],[Activity]],Types_of_Activity[Type of Activity],Types_of_Activity[Classification])=1,Term4_Day_9[[#This Row],[Elapsed]],0))</f>
        <v/>
      </c>
      <c r="BK30" s="105" t="str">
        <f>IF(ISBLANK(Term4_Day_9[[#This Row],[Activity]]),"",IF(_xlfn.XLOOKUP(Term4_Day_9[[#This Row],[Activity]],Types_of_Activity[Type of Activity],Types_of_Activity[Classification])=2,Term4_Day_9[[#This Row],[Elapsed]],0))</f>
        <v/>
      </c>
      <c r="BL30" s="106"/>
      <c r="BM30" s="135"/>
      <c r="BN30" s="135"/>
      <c r="BO30" s="102"/>
      <c r="BP30" s="105" t="str">
        <f>IF(OR(ISBLANK(Term4_Day_10[[#This Row],[Start]]),ISBLANK(Term4_Day_10[[#This Row],[End]])),"",(Term4_Day_10[[#This Row],[End]]-Term4_Day_10[[#This Row],[Start]])*1440)</f>
        <v/>
      </c>
      <c r="BQ30" s="105" t="str">
        <f>IF(ISBLANK(Term4_Day_10[[#This Row],[Activity]]),"",IF(_xlfn.XLOOKUP(Term4_Day_10[[#This Row],[Activity]],Types_of_Activity[Type of Activity],Types_of_Activity[Classification])=1,Term4_Day_10[[#This Row],[Elapsed]],0))</f>
        <v/>
      </c>
      <c r="BR30" s="105" t="str">
        <f>IF(ISBLANK(Term4_Day_10[[#This Row],[Activity]]),"",IF(_xlfn.XLOOKUP(Term4_Day_10[[#This Row],[Activity]],Types_of_Activity[Type of Activity],Types_of_Activity[Classification])=2,Term4_Day_10[[#This Row],[Elapsed]],0))</f>
        <v/>
      </c>
      <c r="BS30" s="106"/>
    </row>
    <row r="31" spans="2:71" x14ac:dyDescent="0.3">
      <c r="B31" s="135"/>
      <c r="C31" s="135"/>
      <c r="D31" s="102"/>
      <c r="E31" s="105" t="str">
        <f>IF(OR(ISBLANK(Term4_Day_1[[#This Row],[Start]]),ISBLANK(Term4_Day_1[[#This Row],[End]])),"",(Term4_Day_1[[#This Row],[End]]-Term4_Day_1[[#This Row],[Start]])*1440)</f>
        <v/>
      </c>
      <c r="F31" s="105" t="str">
        <f>IF(ISBLANK(Term4_Day_1[[#This Row],[Activity]]),"",IF(_xlfn.XLOOKUP(Term4_Day_1[[#This Row],[Activity]],Types_of_Activity[Type of Activity],Types_of_Activity[Classification])=1,Term4_Day_1[[#This Row],[Elapsed]],0))</f>
        <v/>
      </c>
      <c r="G31" s="105" t="str">
        <f>IF(ISBLANK(Term4_Day_1[[#This Row],[Activity]]),"",IF(_xlfn.XLOOKUP(Term4_Day_1[[#This Row],[Activity]],Types_of_Activity[Type of Activity],Types_of_Activity[Classification])=2,Term4_Day_1[[#This Row],[Elapsed]],0))</f>
        <v/>
      </c>
      <c r="I31" s="135"/>
      <c r="J31" s="135"/>
      <c r="K31" s="102"/>
      <c r="L31" s="105" t="str">
        <f>IF(OR(ISBLANK(Term4_Day_2[[#This Row],[Start]]),ISBLANK(Term4_Day_2[[#This Row],[End]])),"",(Term4_Day_2[[#This Row],[End]]-Term4_Day_2[[#This Row],[Start]])*1440)</f>
        <v/>
      </c>
      <c r="M31" s="105" t="str">
        <f>IF(ISBLANK(Term4_Day_2[[#This Row],[Activity]]),"",IF(_xlfn.XLOOKUP(Term4_Day_2[[#This Row],[Activity]],Types_of_Activity[Type of Activity],Types_of_Activity[Classification])=1,Term4_Day_2[[#This Row],[Elapsed]],0))</f>
        <v/>
      </c>
      <c r="N31" s="105" t="str">
        <f>IF(ISBLANK(Term4_Day_2[[#This Row],[Activity]]),"",IF(_xlfn.XLOOKUP(Term4_Day_2[[#This Row],[Activity]],Types_of_Activity[Type of Activity],Types_of_Activity[Classification])=2,Term4_Day_2[[#This Row],[Elapsed]],0))</f>
        <v/>
      </c>
      <c r="P31" s="135"/>
      <c r="Q31" s="135"/>
      <c r="R31" s="102"/>
      <c r="S31" s="105" t="str">
        <f>IF(OR(ISBLANK(Term4_Day_3[[#This Row],[Start]]),ISBLANK(Term4_Day_3[[#This Row],[End]])),"",(Term4_Day_3[[#This Row],[End]]-Term4_Day_3[[#This Row],[Start]])*1440)</f>
        <v/>
      </c>
      <c r="T31" s="105" t="str">
        <f>IF(ISBLANK(Term4_Day_3[[#This Row],[Activity]]),"",IF(_xlfn.XLOOKUP(Term4_Day_3[[#This Row],[Activity]],Types_of_Activity[Type of Activity],Types_of_Activity[Classification])=1,Term4_Day_3[[#This Row],[Elapsed]],0))</f>
        <v/>
      </c>
      <c r="U31" s="105" t="str">
        <f>IF(ISBLANK(Term4_Day_3[[#This Row],[Activity]]),"",IF(_xlfn.XLOOKUP(Term4_Day_3[[#This Row],[Activity]],Types_of_Activity[Type of Activity],Types_of_Activity[Classification])=2,Term4_Day_3[[#This Row],[Elapsed]],0))</f>
        <v/>
      </c>
      <c r="W31" s="135"/>
      <c r="X31" s="135"/>
      <c r="Y31" s="102"/>
      <c r="Z31" s="105" t="str">
        <f>IF(OR(ISBLANK(Term4_Day_4[[#This Row],[Start]]),ISBLANK(Term4_Day_4[[#This Row],[End]])),"",(Term4_Day_4[[#This Row],[End]]-Term4_Day_4[[#This Row],[Start]])*1440)</f>
        <v/>
      </c>
      <c r="AA31" s="105" t="str">
        <f>IF(ISBLANK(Term4_Day_4[[#This Row],[Activity]]),"",IF(_xlfn.XLOOKUP(Term4_Day_4[[#This Row],[Activity]],Types_of_Activity[Type of Activity],Types_of_Activity[Classification])=1,Term4_Day_4[[#This Row],[Elapsed]],0))</f>
        <v/>
      </c>
      <c r="AB31" s="105" t="str">
        <f>IF(ISBLANK(Term4_Day_4[[#This Row],[Activity]]),"",IF(_xlfn.XLOOKUP(Term4_Day_4[[#This Row],[Activity]],Types_of_Activity[Type of Activity],Types_of_Activity[Classification])=2,Term4_Day_4[[#This Row],[Elapsed]],0))</f>
        <v/>
      </c>
      <c r="AD31" s="135"/>
      <c r="AE31" s="135"/>
      <c r="AF31" s="102"/>
      <c r="AG31" s="105" t="str">
        <f>IF(OR(ISBLANK(Term4_Day_5[[#This Row],[Start]]),ISBLANK(Term4_Day_5[[#This Row],[End]])),"",(Term4_Day_5[[#This Row],[End]]-Term4_Day_5[[#This Row],[Start]])*1440)</f>
        <v/>
      </c>
      <c r="AH31" s="105" t="str">
        <f>IF(ISBLANK(Term4_Day_5[[#This Row],[Activity]]),"",IF(_xlfn.XLOOKUP(Term4_Day_5[[#This Row],[Activity]],Types_of_Activity[Type of Activity],Types_of_Activity[Classification])=1,Term4_Day_5[[#This Row],[Elapsed]],0))</f>
        <v/>
      </c>
      <c r="AI31" s="105" t="str">
        <f>IF(ISBLANK(Term4_Day_5[[#This Row],[Activity]]),"",IF(_xlfn.XLOOKUP(Term4_Day_5[[#This Row],[Activity]],Types_of_Activity[Type of Activity],Types_of_Activity[Classification])=2,Term4_Day_5[[#This Row],[Elapsed]],0))</f>
        <v/>
      </c>
      <c r="AJ31" s="106"/>
      <c r="AK31" s="135"/>
      <c r="AL31" s="135"/>
      <c r="AM31" s="102"/>
      <c r="AN31" s="105" t="str">
        <f>IF(OR(ISBLANK(Term4_Day_6[[#This Row],[Start]]),ISBLANK(Term4_Day_6[[#This Row],[End]])),"",(Term4_Day_6[[#This Row],[End]]-Term4_Day_6[[#This Row],[Start]])*1440)</f>
        <v/>
      </c>
      <c r="AO31" s="105" t="str">
        <f>IF(ISBLANK(Term4_Day_6[[#This Row],[Activity]]),"",IF(_xlfn.XLOOKUP(Term4_Day_6[[#This Row],[Activity]],Types_of_Activity[Type of Activity],Types_of_Activity[Classification])=1,Term4_Day_6[[#This Row],[Elapsed]],0))</f>
        <v/>
      </c>
      <c r="AP31" s="105" t="str">
        <f>IF(ISBLANK(Term4_Day_6[[#This Row],[Activity]]),"",IF(_xlfn.XLOOKUP(Term4_Day_6[[#This Row],[Activity]],Types_of_Activity[Type of Activity],Types_of_Activity[Classification])=2,Term4_Day_6[[#This Row],[Elapsed]],0))</f>
        <v/>
      </c>
      <c r="AQ31" s="106"/>
      <c r="AR31" s="135"/>
      <c r="AS31" s="135"/>
      <c r="AT31" s="102"/>
      <c r="AU31" s="105" t="str">
        <f>IF(OR(ISBLANK(Term4_Day_7[[#This Row],[Start]]),ISBLANK(Term4_Day_7[[#This Row],[End]])),"",(Term4_Day_7[[#This Row],[End]]-Term4_Day_7[[#This Row],[Start]])*1440)</f>
        <v/>
      </c>
      <c r="AV31" s="105" t="str">
        <f>IF(ISBLANK(Term4_Day_7[[#This Row],[Activity]]),"",IF(_xlfn.XLOOKUP(Term4_Day_7[[#This Row],[Activity]],Types_of_Activity[Type of Activity],Types_of_Activity[Classification])=1,Term4_Day_7[[#This Row],[Elapsed]],0))</f>
        <v/>
      </c>
      <c r="AW31" s="105" t="str">
        <f>IF(ISBLANK(Term4_Day_7[[#This Row],[Activity]]),"",IF(_xlfn.XLOOKUP(Term4_Day_7[[#This Row],[Activity]],Types_of_Activity[Type of Activity],Types_of_Activity[Classification])=2,Term4_Day_7[[#This Row],[Elapsed]],0))</f>
        <v/>
      </c>
      <c r="AX31" s="106"/>
      <c r="AY31" s="135"/>
      <c r="AZ31" s="135"/>
      <c r="BA31" s="102"/>
      <c r="BB31" s="105" t="str">
        <f>IF(OR(ISBLANK(Term4_Day_8[[#This Row],[Start]]),ISBLANK(Term4_Day_8[[#This Row],[End]])),"",(Term4_Day_8[[#This Row],[End]]-Term4_Day_8[[#This Row],[Start]])*1440)</f>
        <v/>
      </c>
      <c r="BC31" s="105" t="str">
        <f>IF(ISBLANK(Term4_Day_8[[#This Row],[Activity]]),"",IF(_xlfn.XLOOKUP(Term4_Day_8[[#This Row],[Activity]],Types_of_Activity[Type of Activity],Types_of_Activity[Classification])=1,Term4_Day_8[[#This Row],[Elapsed]],0))</f>
        <v/>
      </c>
      <c r="BD31" s="105" t="str">
        <f>IF(ISBLANK(Term4_Day_8[[#This Row],[Activity]]),"",IF(_xlfn.XLOOKUP(Term4_Day_8[[#This Row],[Activity]],Types_of_Activity[Type of Activity],Types_of_Activity[Classification])=2,Term4_Day_8[[#This Row],[Elapsed]],0))</f>
        <v/>
      </c>
      <c r="BE31" s="106"/>
      <c r="BF31" s="135"/>
      <c r="BG31" s="135"/>
      <c r="BH31" s="102"/>
      <c r="BI31" s="105" t="str">
        <f>IF(OR(ISBLANK(Term4_Day_9[[#This Row],[Start]]),ISBLANK(Term4_Day_9[[#This Row],[End]])),"",(Term4_Day_9[[#This Row],[End]]-Term4_Day_9[[#This Row],[Start]])*1440)</f>
        <v/>
      </c>
      <c r="BJ31" s="105" t="str">
        <f>IF(ISBLANK(Term4_Day_9[[#This Row],[Activity]]),"",IF(_xlfn.XLOOKUP(Term4_Day_9[[#This Row],[Activity]],Types_of_Activity[Type of Activity],Types_of_Activity[Classification])=1,Term4_Day_9[[#This Row],[Elapsed]],0))</f>
        <v/>
      </c>
      <c r="BK31" s="105" t="str">
        <f>IF(ISBLANK(Term4_Day_9[[#This Row],[Activity]]),"",IF(_xlfn.XLOOKUP(Term4_Day_9[[#This Row],[Activity]],Types_of_Activity[Type of Activity],Types_of_Activity[Classification])=2,Term4_Day_9[[#This Row],[Elapsed]],0))</f>
        <v/>
      </c>
      <c r="BL31" s="106"/>
      <c r="BM31" s="135"/>
      <c r="BN31" s="135"/>
      <c r="BO31" s="102"/>
      <c r="BP31" s="105" t="str">
        <f>IF(OR(ISBLANK(Term4_Day_10[[#This Row],[Start]]),ISBLANK(Term4_Day_10[[#This Row],[End]])),"",(Term4_Day_10[[#This Row],[End]]-Term4_Day_10[[#This Row],[Start]])*1440)</f>
        <v/>
      </c>
      <c r="BQ31" s="105" t="str">
        <f>IF(ISBLANK(Term4_Day_10[[#This Row],[Activity]]),"",IF(_xlfn.XLOOKUP(Term4_Day_10[[#This Row],[Activity]],Types_of_Activity[Type of Activity],Types_of_Activity[Classification])=1,Term4_Day_10[[#This Row],[Elapsed]],0))</f>
        <v/>
      </c>
      <c r="BR31" s="105" t="str">
        <f>IF(ISBLANK(Term4_Day_10[[#This Row],[Activity]]),"",IF(_xlfn.XLOOKUP(Term4_Day_10[[#This Row],[Activity]],Types_of_Activity[Type of Activity],Types_of_Activity[Classification])=2,Term4_Day_10[[#This Row],[Elapsed]],0))</f>
        <v/>
      </c>
      <c r="BS31" s="106"/>
    </row>
    <row r="32" spans="2:71" x14ac:dyDescent="0.3">
      <c r="B32" s="135"/>
      <c r="C32" s="135"/>
      <c r="D32" s="102"/>
      <c r="E32" s="105" t="str">
        <f>IF(OR(ISBLANK(Term4_Day_1[[#This Row],[Start]]),ISBLANK(Term4_Day_1[[#This Row],[End]])),"",(Term4_Day_1[[#This Row],[End]]-Term4_Day_1[[#This Row],[Start]])*1440)</f>
        <v/>
      </c>
      <c r="F32" s="105" t="str">
        <f>IF(ISBLANK(Term4_Day_1[[#This Row],[Activity]]),"",IF(_xlfn.XLOOKUP(Term4_Day_1[[#This Row],[Activity]],Types_of_Activity[Type of Activity],Types_of_Activity[Classification])=1,Term4_Day_1[[#This Row],[Elapsed]],0))</f>
        <v/>
      </c>
      <c r="G32" s="105" t="str">
        <f>IF(ISBLANK(Term4_Day_1[[#This Row],[Activity]]),"",IF(_xlfn.XLOOKUP(Term4_Day_1[[#This Row],[Activity]],Types_of_Activity[Type of Activity],Types_of_Activity[Classification])=2,Term4_Day_1[[#This Row],[Elapsed]],0))</f>
        <v/>
      </c>
      <c r="I32" s="135"/>
      <c r="J32" s="135"/>
      <c r="K32" s="102"/>
      <c r="L32" s="105" t="str">
        <f>IF(OR(ISBLANK(Term4_Day_2[[#This Row],[Start]]),ISBLANK(Term4_Day_2[[#This Row],[End]])),"",(Term4_Day_2[[#This Row],[End]]-Term4_Day_2[[#This Row],[Start]])*1440)</f>
        <v/>
      </c>
      <c r="M32" s="105" t="str">
        <f>IF(ISBLANK(Term4_Day_2[[#This Row],[Activity]]),"",IF(_xlfn.XLOOKUP(Term4_Day_2[[#This Row],[Activity]],Types_of_Activity[Type of Activity],Types_of_Activity[Classification])=1,Term4_Day_2[[#This Row],[Elapsed]],0))</f>
        <v/>
      </c>
      <c r="N32" s="105" t="str">
        <f>IF(ISBLANK(Term4_Day_2[[#This Row],[Activity]]),"",IF(_xlfn.XLOOKUP(Term4_Day_2[[#This Row],[Activity]],Types_of_Activity[Type of Activity],Types_of_Activity[Classification])=2,Term4_Day_2[[#This Row],[Elapsed]],0))</f>
        <v/>
      </c>
      <c r="P32" s="135"/>
      <c r="Q32" s="135"/>
      <c r="R32" s="102"/>
      <c r="S32" s="105" t="str">
        <f>IF(OR(ISBLANK(Term4_Day_3[[#This Row],[Start]]),ISBLANK(Term4_Day_3[[#This Row],[End]])),"",(Term4_Day_3[[#This Row],[End]]-Term4_Day_3[[#This Row],[Start]])*1440)</f>
        <v/>
      </c>
      <c r="T32" s="105" t="str">
        <f>IF(ISBLANK(Term4_Day_3[[#This Row],[Activity]]),"",IF(_xlfn.XLOOKUP(Term4_Day_3[[#This Row],[Activity]],Types_of_Activity[Type of Activity],Types_of_Activity[Classification])=1,Term4_Day_3[[#This Row],[Elapsed]],0))</f>
        <v/>
      </c>
      <c r="U32" s="105" t="str">
        <f>IF(ISBLANK(Term4_Day_3[[#This Row],[Activity]]),"",IF(_xlfn.XLOOKUP(Term4_Day_3[[#This Row],[Activity]],Types_of_Activity[Type of Activity],Types_of_Activity[Classification])=2,Term4_Day_3[[#This Row],[Elapsed]],0))</f>
        <v/>
      </c>
      <c r="W32" s="135"/>
      <c r="X32" s="135"/>
      <c r="Y32" s="102"/>
      <c r="Z32" s="105" t="str">
        <f>IF(OR(ISBLANK(Term4_Day_4[[#This Row],[Start]]),ISBLANK(Term4_Day_4[[#This Row],[End]])),"",(Term4_Day_4[[#This Row],[End]]-Term4_Day_4[[#This Row],[Start]])*1440)</f>
        <v/>
      </c>
      <c r="AA32" s="105" t="str">
        <f>IF(ISBLANK(Term4_Day_4[[#This Row],[Activity]]),"",IF(_xlfn.XLOOKUP(Term4_Day_4[[#This Row],[Activity]],Types_of_Activity[Type of Activity],Types_of_Activity[Classification])=1,Term4_Day_4[[#This Row],[Elapsed]],0))</f>
        <v/>
      </c>
      <c r="AB32" s="105" t="str">
        <f>IF(ISBLANK(Term4_Day_4[[#This Row],[Activity]]),"",IF(_xlfn.XLOOKUP(Term4_Day_4[[#This Row],[Activity]],Types_of_Activity[Type of Activity],Types_of_Activity[Classification])=2,Term4_Day_4[[#This Row],[Elapsed]],0))</f>
        <v/>
      </c>
      <c r="AD32" s="135"/>
      <c r="AE32" s="135"/>
      <c r="AF32" s="102"/>
      <c r="AG32" s="105" t="str">
        <f>IF(OR(ISBLANK(Term4_Day_5[[#This Row],[Start]]),ISBLANK(Term4_Day_5[[#This Row],[End]])),"",(Term4_Day_5[[#This Row],[End]]-Term4_Day_5[[#This Row],[Start]])*1440)</f>
        <v/>
      </c>
      <c r="AH32" s="105" t="str">
        <f>IF(ISBLANK(Term4_Day_5[[#This Row],[Activity]]),"",IF(_xlfn.XLOOKUP(Term4_Day_5[[#This Row],[Activity]],Types_of_Activity[Type of Activity],Types_of_Activity[Classification])=1,Term4_Day_5[[#This Row],[Elapsed]],0))</f>
        <v/>
      </c>
      <c r="AI32" s="105" t="str">
        <f>IF(ISBLANK(Term4_Day_5[[#This Row],[Activity]]),"",IF(_xlfn.XLOOKUP(Term4_Day_5[[#This Row],[Activity]],Types_of_Activity[Type of Activity],Types_of_Activity[Classification])=2,Term4_Day_5[[#This Row],[Elapsed]],0))</f>
        <v/>
      </c>
      <c r="AJ32" s="106"/>
      <c r="AK32" s="135"/>
      <c r="AL32" s="135"/>
      <c r="AM32" s="102"/>
      <c r="AN32" s="105" t="str">
        <f>IF(OR(ISBLANK(Term4_Day_6[[#This Row],[Start]]),ISBLANK(Term4_Day_6[[#This Row],[End]])),"",(Term4_Day_6[[#This Row],[End]]-Term4_Day_6[[#This Row],[Start]])*1440)</f>
        <v/>
      </c>
      <c r="AO32" s="105" t="str">
        <f>IF(ISBLANK(Term4_Day_6[[#This Row],[Activity]]),"",IF(_xlfn.XLOOKUP(Term4_Day_6[[#This Row],[Activity]],Types_of_Activity[Type of Activity],Types_of_Activity[Classification])=1,Term4_Day_6[[#This Row],[Elapsed]],0))</f>
        <v/>
      </c>
      <c r="AP32" s="105" t="str">
        <f>IF(ISBLANK(Term4_Day_6[[#This Row],[Activity]]),"",IF(_xlfn.XLOOKUP(Term4_Day_6[[#This Row],[Activity]],Types_of_Activity[Type of Activity],Types_of_Activity[Classification])=2,Term4_Day_6[[#This Row],[Elapsed]],0))</f>
        <v/>
      </c>
      <c r="AQ32" s="106"/>
      <c r="AR32" s="135"/>
      <c r="AS32" s="135"/>
      <c r="AT32" s="102"/>
      <c r="AU32" s="105" t="str">
        <f>IF(OR(ISBLANK(Term4_Day_7[[#This Row],[Start]]),ISBLANK(Term4_Day_7[[#This Row],[End]])),"",(Term4_Day_7[[#This Row],[End]]-Term4_Day_7[[#This Row],[Start]])*1440)</f>
        <v/>
      </c>
      <c r="AV32" s="105" t="str">
        <f>IF(ISBLANK(Term4_Day_7[[#This Row],[Activity]]),"",IF(_xlfn.XLOOKUP(Term4_Day_7[[#This Row],[Activity]],Types_of_Activity[Type of Activity],Types_of_Activity[Classification])=1,Term4_Day_7[[#This Row],[Elapsed]],0))</f>
        <v/>
      </c>
      <c r="AW32" s="105" t="str">
        <f>IF(ISBLANK(Term4_Day_7[[#This Row],[Activity]]),"",IF(_xlfn.XLOOKUP(Term4_Day_7[[#This Row],[Activity]],Types_of_Activity[Type of Activity],Types_of_Activity[Classification])=2,Term4_Day_7[[#This Row],[Elapsed]],0))</f>
        <v/>
      </c>
      <c r="AX32" s="106"/>
      <c r="AY32" s="135"/>
      <c r="AZ32" s="135"/>
      <c r="BA32" s="102"/>
      <c r="BB32" s="105" t="str">
        <f>IF(OR(ISBLANK(Term4_Day_8[[#This Row],[Start]]),ISBLANK(Term4_Day_8[[#This Row],[End]])),"",(Term4_Day_8[[#This Row],[End]]-Term4_Day_8[[#This Row],[Start]])*1440)</f>
        <v/>
      </c>
      <c r="BC32" s="105" t="str">
        <f>IF(ISBLANK(Term4_Day_8[[#This Row],[Activity]]),"",IF(_xlfn.XLOOKUP(Term4_Day_8[[#This Row],[Activity]],Types_of_Activity[Type of Activity],Types_of_Activity[Classification])=1,Term4_Day_8[[#This Row],[Elapsed]],0))</f>
        <v/>
      </c>
      <c r="BD32" s="105" t="str">
        <f>IF(ISBLANK(Term4_Day_8[[#This Row],[Activity]]),"",IF(_xlfn.XLOOKUP(Term4_Day_8[[#This Row],[Activity]],Types_of_Activity[Type of Activity],Types_of_Activity[Classification])=2,Term4_Day_8[[#This Row],[Elapsed]],0))</f>
        <v/>
      </c>
      <c r="BE32" s="106"/>
      <c r="BF32" s="135"/>
      <c r="BG32" s="135"/>
      <c r="BH32" s="102"/>
      <c r="BI32" s="105" t="str">
        <f>IF(OR(ISBLANK(Term4_Day_9[[#This Row],[Start]]),ISBLANK(Term4_Day_9[[#This Row],[End]])),"",(Term4_Day_9[[#This Row],[End]]-Term4_Day_9[[#This Row],[Start]])*1440)</f>
        <v/>
      </c>
      <c r="BJ32" s="105" t="str">
        <f>IF(ISBLANK(Term4_Day_9[[#This Row],[Activity]]),"",IF(_xlfn.XLOOKUP(Term4_Day_9[[#This Row],[Activity]],Types_of_Activity[Type of Activity],Types_of_Activity[Classification])=1,Term4_Day_9[[#This Row],[Elapsed]],0))</f>
        <v/>
      </c>
      <c r="BK32" s="105" t="str">
        <f>IF(ISBLANK(Term4_Day_9[[#This Row],[Activity]]),"",IF(_xlfn.XLOOKUP(Term4_Day_9[[#This Row],[Activity]],Types_of_Activity[Type of Activity],Types_of_Activity[Classification])=2,Term4_Day_9[[#This Row],[Elapsed]],0))</f>
        <v/>
      </c>
      <c r="BL32" s="106"/>
      <c r="BM32" s="135"/>
      <c r="BN32" s="135"/>
      <c r="BO32" s="102"/>
      <c r="BP32" s="105" t="str">
        <f>IF(OR(ISBLANK(Term4_Day_10[[#This Row],[Start]]),ISBLANK(Term4_Day_10[[#This Row],[End]])),"",(Term4_Day_10[[#This Row],[End]]-Term4_Day_10[[#This Row],[Start]])*1440)</f>
        <v/>
      </c>
      <c r="BQ32" s="105" t="str">
        <f>IF(ISBLANK(Term4_Day_10[[#This Row],[Activity]]),"",IF(_xlfn.XLOOKUP(Term4_Day_10[[#This Row],[Activity]],Types_of_Activity[Type of Activity],Types_of_Activity[Classification])=1,Term4_Day_10[[#This Row],[Elapsed]],0))</f>
        <v/>
      </c>
      <c r="BR32" s="105" t="str">
        <f>IF(ISBLANK(Term4_Day_10[[#This Row],[Activity]]),"",IF(_xlfn.XLOOKUP(Term4_Day_10[[#This Row],[Activity]],Types_of_Activity[Type of Activity],Types_of_Activity[Classification])=2,Term4_Day_10[[#This Row],[Elapsed]],0))</f>
        <v/>
      </c>
      <c r="BS32" s="106"/>
    </row>
    <row r="33" spans="2:71" x14ac:dyDescent="0.3">
      <c r="B33" s="135"/>
      <c r="C33" s="135"/>
      <c r="D33" s="102"/>
      <c r="E33" s="105" t="str">
        <f>IF(OR(ISBLANK(Term4_Day_1[[#This Row],[Start]]),ISBLANK(Term4_Day_1[[#This Row],[End]])),"",(Term4_Day_1[[#This Row],[End]]-Term4_Day_1[[#This Row],[Start]])*1440)</f>
        <v/>
      </c>
      <c r="F33" s="105" t="str">
        <f>IF(ISBLANK(Term4_Day_1[[#This Row],[Activity]]),"",IF(_xlfn.XLOOKUP(Term4_Day_1[[#This Row],[Activity]],Types_of_Activity[Type of Activity],Types_of_Activity[Classification])=1,Term4_Day_1[[#This Row],[Elapsed]],0))</f>
        <v/>
      </c>
      <c r="G33" s="105" t="str">
        <f>IF(ISBLANK(Term4_Day_1[[#This Row],[Activity]]),"",IF(_xlfn.XLOOKUP(Term4_Day_1[[#This Row],[Activity]],Types_of_Activity[Type of Activity],Types_of_Activity[Classification])=2,Term4_Day_1[[#This Row],[Elapsed]],0))</f>
        <v/>
      </c>
      <c r="I33" s="135"/>
      <c r="J33" s="135"/>
      <c r="K33" s="102"/>
      <c r="L33" s="105" t="str">
        <f>IF(OR(ISBLANK(Term4_Day_2[[#This Row],[Start]]),ISBLANK(Term4_Day_2[[#This Row],[End]])),"",(Term4_Day_2[[#This Row],[End]]-Term4_Day_2[[#This Row],[Start]])*1440)</f>
        <v/>
      </c>
      <c r="M33" s="105" t="str">
        <f>IF(ISBLANK(Term4_Day_2[[#This Row],[Activity]]),"",IF(_xlfn.XLOOKUP(Term4_Day_2[[#This Row],[Activity]],Types_of_Activity[Type of Activity],Types_of_Activity[Classification])=1,Term4_Day_2[[#This Row],[Elapsed]],0))</f>
        <v/>
      </c>
      <c r="N33" s="105" t="str">
        <f>IF(ISBLANK(Term4_Day_2[[#This Row],[Activity]]),"",IF(_xlfn.XLOOKUP(Term4_Day_2[[#This Row],[Activity]],Types_of_Activity[Type of Activity],Types_of_Activity[Classification])=2,Term4_Day_2[[#This Row],[Elapsed]],0))</f>
        <v/>
      </c>
      <c r="P33" s="135"/>
      <c r="Q33" s="135"/>
      <c r="R33" s="102"/>
      <c r="S33" s="105" t="str">
        <f>IF(OR(ISBLANK(Term4_Day_3[[#This Row],[Start]]),ISBLANK(Term4_Day_3[[#This Row],[End]])),"",(Term4_Day_3[[#This Row],[End]]-Term4_Day_3[[#This Row],[Start]])*1440)</f>
        <v/>
      </c>
      <c r="T33" s="105" t="str">
        <f>IF(ISBLANK(Term4_Day_3[[#This Row],[Activity]]),"",IF(_xlfn.XLOOKUP(Term4_Day_3[[#This Row],[Activity]],Types_of_Activity[Type of Activity],Types_of_Activity[Classification])=1,Term4_Day_3[[#This Row],[Elapsed]],0))</f>
        <v/>
      </c>
      <c r="U33" s="105" t="str">
        <f>IF(ISBLANK(Term4_Day_3[[#This Row],[Activity]]),"",IF(_xlfn.XLOOKUP(Term4_Day_3[[#This Row],[Activity]],Types_of_Activity[Type of Activity],Types_of_Activity[Classification])=2,Term4_Day_3[[#This Row],[Elapsed]],0))</f>
        <v/>
      </c>
      <c r="W33" s="135"/>
      <c r="X33" s="135"/>
      <c r="Y33" s="102"/>
      <c r="Z33" s="105" t="str">
        <f>IF(OR(ISBLANK(Term4_Day_4[[#This Row],[Start]]),ISBLANK(Term4_Day_4[[#This Row],[End]])),"",(Term4_Day_4[[#This Row],[End]]-Term4_Day_4[[#This Row],[Start]])*1440)</f>
        <v/>
      </c>
      <c r="AA33" s="105" t="str">
        <f>IF(ISBLANK(Term4_Day_4[[#This Row],[Activity]]),"",IF(_xlfn.XLOOKUP(Term4_Day_4[[#This Row],[Activity]],Types_of_Activity[Type of Activity],Types_of_Activity[Classification])=1,Term4_Day_4[[#This Row],[Elapsed]],0))</f>
        <v/>
      </c>
      <c r="AB33" s="105" t="str">
        <f>IF(ISBLANK(Term4_Day_4[[#This Row],[Activity]]),"",IF(_xlfn.XLOOKUP(Term4_Day_4[[#This Row],[Activity]],Types_of_Activity[Type of Activity],Types_of_Activity[Classification])=2,Term4_Day_4[[#This Row],[Elapsed]],0))</f>
        <v/>
      </c>
      <c r="AD33" s="135"/>
      <c r="AE33" s="135"/>
      <c r="AF33" s="102"/>
      <c r="AG33" s="105" t="str">
        <f>IF(OR(ISBLANK(Term4_Day_5[[#This Row],[Start]]),ISBLANK(Term4_Day_5[[#This Row],[End]])),"",(Term4_Day_5[[#This Row],[End]]-Term4_Day_5[[#This Row],[Start]])*1440)</f>
        <v/>
      </c>
      <c r="AH33" s="105" t="str">
        <f>IF(ISBLANK(Term4_Day_5[[#This Row],[Activity]]),"",IF(_xlfn.XLOOKUP(Term4_Day_5[[#This Row],[Activity]],Types_of_Activity[Type of Activity],Types_of_Activity[Classification])=1,Term4_Day_5[[#This Row],[Elapsed]],0))</f>
        <v/>
      </c>
      <c r="AI33" s="105" t="str">
        <f>IF(ISBLANK(Term4_Day_5[[#This Row],[Activity]]),"",IF(_xlfn.XLOOKUP(Term4_Day_5[[#This Row],[Activity]],Types_of_Activity[Type of Activity],Types_of_Activity[Classification])=2,Term4_Day_5[[#This Row],[Elapsed]],0))</f>
        <v/>
      </c>
      <c r="AJ33" s="106"/>
      <c r="AK33" s="135"/>
      <c r="AL33" s="135"/>
      <c r="AM33" s="102"/>
      <c r="AN33" s="105" t="str">
        <f>IF(OR(ISBLANK(Term4_Day_6[[#This Row],[Start]]),ISBLANK(Term4_Day_6[[#This Row],[End]])),"",(Term4_Day_6[[#This Row],[End]]-Term4_Day_6[[#This Row],[Start]])*1440)</f>
        <v/>
      </c>
      <c r="AO33" s="105" t="str">
        <f>IF(ISBLANK(Term4_Day_6[[#This Row],[Activity]]),"",IF(_xlfn.XLOOKUP(Term4_Day_6[[#This Row],[Activity]],Types_of_Activity[Type of Activity],Types_of_Activity[Classification])=1,Term4_Day_6[[#This Row],[Elapsed]],0))</f>
        <v/>
      </c>
      <c r="AP33" s="105" t="str">
        <f>IF(ISBLANK(Term4_Day_6[[#This Row],[Activity]]),"",IF(_xlfn.XLOOKUP(Term4_Day_6[[#This Row],[Activity]],Types_of_Activity[Type of Activity],Types_of_Activity[Classification])=2,Term4_Day_6[[#This Row],[Elapsed]],0))</f>
        <v/>
      </c>
      <c r="AQ33" s="106"/>
      <c r="AR33" s="135"/>
      <c r="AS33" s="135"/>
      <c r="AT33" s="102"/>
      <c r="AU33" s="105" t="str">
        <f>IF(OR(ISBLANK(Term4_Day_7[[#This Row],[Start]]),ISBLANK(Term4_Day_7[[#This Row],[End]])),"",(Term4_Day_7[[#This Row],[End]]-Term4_Day_7[[#This Row],[Start]])*1440)</f>
        <v/>
      </c>
      <c r="AV33" s="105" t="str">
        <f>IF(ISBLANK(Term4_Day_7[[#This Row],[Activity]]),"",IF(_xlfn.XLOOKUP(Term4_Day_7[[#This Row],[Activity]],Types_of_Activity[Type of Activity],Types_of_Activity[Classification])=1,Term4_Day_7[[#This Row],[Elapsed]],0))</f>
        <v/>
      </c>
      <c r="AW33" s="105" t="str">
        <f>IF(ISBLANK(Term4_Day_7[[#This Row],[Activity]]),"",IF(_xlfn.XLOOKUP(Term4_Day_7[[#This Row],[Activity]],Types_of_Activity[Type of Activity],Types_of_Activity[Classification])=2,Term4_Day_7[[#This Row],[Elapsed]],0))</f>
        <v/>
      </c>
      <c r="AX33" s="106"/>
      <c r="AY33" s="135"/>
      <c r="AZ33" s="135"/>
      <c r="BA33" s="102"/>
      <c r="BB33" s="105" t="str">
        <f>IF(OR(ISBLANK(Term4_Day_8[[#This Row],[Start]]),ISBLANK(Term4_Day_8[[#This Row],[End]])),"",(Term4_Day_8[[#This Row],[End]]-Term4_Day_8[[#This Row],[Start]])*1440)</f>
        <v/>
      </c>
      <c r="BC33" s="105" t="str">
        <f>IF(ISBLANK(Term4_Day_8[[#This Row],[Activity]]),"",IF(_xlfn.XLOOKUP(Term4_Day_8[[#This Row],[Activity]],Types_of_Activity[Type of Activity],Types_of_Activity[Classification])=1,Term4_Day_8[[#This Row],[Elapsed]],0))</f>
        <v/>
      </c>
      <c r="BD33" s="105" t="str">
        <f>IF(ISBLANK(Term4_Day_8[[#This Row],[Activity]]),"",IF(_xlfn.XLOOKUP(Term4_Day_8[[#This Row],[Activity]],Types_of_Activity[Type of Activity],Types_of_Activity[Classification])=2,Term4_Day_8[[#This Row],[Elapsed]],0))</f>
        <v/>
      </c>
      <c r="BE33" s="106"/>
      <c r="BF33" s="135"/>
      <c r="BG33" s="135"/>
      <c r="BH33" s="102"/>
      <c r="BI33" s="105" t="str">
        <f>IF(OR(ISBLANK(Term4_Day_9[[#This Row],[Start]]),ISBLANK(Term4_Day_9[[#This Row],[End]])),"",(Term4_Day_9[[#This Row],[End]]-Term4_Day_9[[#This Row],[Start]])*1440)</f>
        <v/>
      </c>
      <c r="BJ33" s="105" t="str">
        <f>IF(ISBLANK(Term4_Day_9[[#This Row],[Activity]]),"",IF(_xlfn.XLOOKUP(Term4_Day_9[[#This Row],[Activity]],Types_of_Activity[Type of Activity],Types_of_Activity[Classification])=1,Term4_Day_9[[#This Row],[Elapsed]],0))</f>
        <v/>
      </c>
      <c r="BK33" s="105" t="str">
        <f>IF(ISBLANK(Term4_Day_9[[#This Row],[Activity]]),"",IF(_xlfn.XLOOKUP(Term4_Day_9[[#This Row],[Activity]],Types_of_Activity[Type of Activity],Types_of_Activity[Classification])=2,Term4_Day_9[[#This Row],[Elapsed]],0))</f>
        <v/>
      </c>
      <c r="BL33" s="106"/>
      <c r="BM33" s="135"/>
      <c r="BN33" s="135"/>
      <c r="BO33" s="102"/>
      <c r="BP33" s="105" t="str">
        <f>IF(OR(ISBLANK(Term4_Day_10[[#This Row],[Start]]),ISBLANK(Term4_Day_10[[#This Row],[End]])),"",(Term4_Day_10[[#This Row],[End]]-Term4_Day_10[[#This Row],[Start]])*1440)</f>
        <v/>
      </c>
      <c r="BQ33" s="105" t="str">
        <f>IF(ISBLANK(Term4_Day_10[[#This Row],[Activity]]),"",IF(_xlfn.XLOOKUP(Term4_Day_10[[#This Row],[Activity]],Types_of_Activity[Type of Activity],Types_of_Activity[Classification])=1,Term4_Day_10[[#This Row],[Elapsed]],0))</f>
        <v/>
      </c>
      <c r="BR33" s="105" t="str">
        <f>IF(ISBLANK(Term4_Day_10[[#This Row],[Activity]]),"",IF(_xlfn.XLOOKUP(Term4_Day_10[[#This Row],[Activity]],Types_of_Activity[Type of Activity],Types_of_Activity[Classification])=2,Term4_Day_10[[#This Row],[Elapsed]],0))</f>
        <v/>
      </c>
      <c r="BS33" s="106"/>
    </row>
    <row r="34" spans="2:71" x14ac:dyDescent="0.3">
      <c r="B34" s="135"/>
      <c r="C34" s="135"/>
      <c r="D34" s="102"/>
      <c r="E34" s="105" t="str">
        <f>IF(OR(ISBLANK(Term4_Day_1[[#This Row],[Start]]),ISBLANK(Term4_Day_1[[#This Row],[End]])),"",(Term4_Day_1[[#This Row],[End]]-Term4_Day_1[[#This Row],[Start]])*1440)</f>
        <v/>
      </c>
      <c r="F34" s="105" t="str">
        <f>IF(ISBLANK(Term4_Day_1[[#This Row],[Activity]]),"",IF(_xlfn.XLOOKUP(Term4_Day_1[[#This Row],[Activity]],Types_of_Activity[Type of Activity],Types_of_Activity[Classification])=1,Term4_Day_1[[#This Row],[Elapsed]],0))</f>
        <v/>
      </c>
      <c r="G34" s="105" t="str">
        <f>IF(ISBLANK(Term4_Day_1[[#This Row],[Activity]]),"",IF(_xlfn.XLOOKUP(Term4_Day_1[[#This Row],[Activity]],Types_of_Activity[Type of Activity],Types_of_Activity[Classification])=2,Term4_Day_1[[#This Row],[Elapsed]],0))</f>
        <v/>
      </c>
      <c r="I34" s="135"/>
      <c r="J34" s="135"/>
      <c r="K34" s="102"/>
      <c r="L34" s="105" t="str">
        <f>IF(OR(ISBLANK(Term4_Day_2[[#This Row],[Start]]),ISBLANK(Term4_Day_2[[#This Row],[End]])),"",(Term4_Day_2[[#This Row],[End]]-Term4_Day_2[[#This Row],[Start]])*1440)</f>
        <v/>
      </c>
      <c r="M34" s="105" t="str">
        <f>IF(ISBLANK(Term4_Day_2[[#This Row],[Activity]]),"",IF(_xlfn.XLOOKUP(Term4_Day_2[[#This Row],[Activity]],Types_of_Activity[Type of Activity],Types_of_Activity[Classification])=1,Term4_Day_2[[#This Row],[Elapsed]],0))</f>
        <v/>
      </c>
      <c r="N34" s="105" t="str">
        <f>IF(ISBLANK(Term4_Day_2[[#This Row],[Activity]]),"",IF(_xlfn.XLOOKUP(Term4_Day_2[[#This Row],[Activity]],Types_of_Activity[Type of Activity],Types_of_Activity[Classification])=2,Term4_Day_2[[#This Row],[Elapsed]],0))</f>
        <v/>
      </c>
      <c r="P34" s="135"/>
      <c r="Q34" s="135"/>
      <c r="R34" s="102"/>
      <c r="S34" s="105" t="str">
        <f>IF(OR(ISBLANK(Term4_Day_3[[#This Row],[Start]]),ISBLANK(Term4_Day_3[[#This Row],[End]])),"",(Term4_Day_3[[#This Row],[End]]-Term4_Day_3[[#This Row],[Start]])*1440)</f>
        <v/>
      </c>
      <c r="T34" s="105" t="str">
        <f>IF(ISBLANK(Term4_Day_3[[#This Row],[Activity]]),"",IF(_xlfn.XLOOKUP(Term4_Day_3[[#This Row],[Activity]],Types_of_Activity[Type of Activity],Types_of_Activity[Classification])=1,Term4_Day_3[[#This Row],[Elapsed]],0))</f>
        <v/>
      </c>
      <c r="U34" s="105" t="str">
        <f>IF(ISBLANK(Term4_Day_3[[#This Row],[Activity]]),"",IF(_xlfn.XLOOKUP(Term4_Day_3[[#This Row],[Activity]],Types_of_Activity[Type of Activity],Types_of_Activity[Classification])=2,Term4_Day_3[[#This Row],[Elapsed]],0))</f>
        <v/>
      </c>
      <c r="W34" s="135"/>
      <c r="X34" s="135"/>
      <c r="Y34" s="102"/>
      <c r="Z34" s="105" t="str">
        <f>IF(OR(ISBLANK(Term4_Day_4[[#This Row],[Start]]),ISBLANK(Term4_Day_4[[#This Row],[End]])),"",(Term4_Day_4[[#This Row],[End]]-Term4_Day_4[[#This Row],[Start]])*1440)</f>
        <v/>
      </c>
      <c r="AA34" s="105" t="str">
        <f>IF(ISBLANK(Term4_Day_4[[#This Row],[Activity]]),"",IF(_xlfn.XLOOKUP(Term4_Day_4[[#This Row],[Activity]],Types_of_Activity[Type of Activity],Types_of_Activity[Classification])=1,Term4_Day_4[[#This Row],[Elapsed]],0))</f>
        <v/>
      </c>
      <c r="AB34" s="105" t="str">
        <f>IF(ISBLANK(Term4_Day_4[[#This Row],[Activity]]),"",IF(_xlfn.XLOOKUP(Term4_Day_4[[#This Row],[Activity]],Types_of_Activity[Type of Activity],Types_of_Activity[Classification])=2,Term4_Day_4[[#This Row],[Elapsed]],0))</f>
        <v/>
      </c>
      <c r="AD34" s="135"/>
      <c r="AE34" s="135"/>
      <c r="AF34" s="102"/>
      <c r="AG34" s="105" t="str">
        <f>IF(OR(ISBLANK(Term4_Day_5[[#This Row],[Start]]),ISBLANK(Term4_Day_5[[#This Row],[End]])),"",(Term4_Day_5[[#This Row],[End]]-Term4_Day_5[[#This Row],[Start]])*1440)</f>
        <v/>
      </c>
      <c r="AH34" s="105" t="str">
        <f>IF(ISBLANK(Term4_Day_5[[#This Row],[Activity]]),"",IF(_xlfn.XLOOKUP(Term4_Day_5[[#This Row],[Activity]],Types_of_Activity[Type of Activity],Types_of_Activity[Classification])=1,Term4_Day_5[[#This Row],[Elapsed]],0))</f>
        <v/>
      </c>
      <c r="AI34" s="105" t="str">
        <f>IF(ISBLANK(Term4_Day_5[[#This Row],[Activity]]),"",IF(_xlfn.XLOOKUP(Term4_Day_5[[#This Row],[Activity]],Types_of_Activity[Type of Activity],Types_of_Activity[Classification])=2,Term4_Day_5[[#This Row],[Elapsed]],0))</f>
        <v/>
      </c>
      <c r="AJ34" s="106"/>
      <c r="AK34" s="135"/>
      <c r="AL34" s="135"/>
      <c r="AM34" s="102"/>
      <c r="AN34" s="105" t="str">
        <f>IF(OR(ISBLANK(Term4_Day_6[[#This Row],[Start]]),ISBLANK(Term4_Day_6[[#This Row],[End]])),"",(Term4_Day_6[[#This Row],[End]]-Term4_Day_6[[#This Row],[Start]])*1440)</f>
        <v/>
      </c>
      <c r="AO34" s="105" t="str">
        <f>IF(ISBLANK(Term4_Day_6[[#This Row],[Activity]]),"",IF(_xlfn.XLOOKUP(Term4_Day_6[[#This Row],[Activity]],Types_of_Activity[Type of Activity],Types_of_Activity[Classification])=1,Term4_Day_6[[#This Row],[Elapsed]],0))</f>
        <v/>
      </c>
      <c r="AP34" s="105" t="str">
        <f>IF(ISBLANK(Term4_Day_6[[#This Row],[Activity]]),"",IF(_xlfn.XLOOKUP(Term4_Day_6[[#This Row],[Activity]],Types_of_Activity[Type of Activity],Types_of_Activity[Classification])=2,Term4_Day_6[[#This Row],[Elapsed]],0))</f>
        <v/>
      </c>
      <c r="AQ34" s="106"/>
      <c r="AR34" s="135"/>
      <c r="AS34" s="135"/>
      <c r="AT34" s="102"/>
      <c r="AU34" s="105" t="str">
        <f>IF(OR(ISBLANK(Term4_Day_7[[#This Row],[Start]]),ISBLANK(Term4_Day_7[[#This Row],[End]])),"",(Term4_Day_7[[#This Row],[End]]-Term4_Day_7[[#This Row],[Start]])*1440)</f>
        <v/>
      </c>
      <c r="AV34" s="105" t="str">
        <f>IF(ISBLANK(Term4_Day_7[[#This Row],[Activity]]),"",IF(_xlfn.XLOOKUP(Term4_Day_7[[#This Row],[Activity]],Types_of_Activity[Type of Activity],Types_of_Activity[Classification])=1,Term4_Day_7[[#This Row],[Elapsed]],0))</f>
        <v/>
      </c>
      <c r="AW34" s="105" t="str">
        <f>IF(ISBLANK(Term4_Day_7[[#This Row],[Activity]]),"",IF(_xlfn.XLOOKUP(Term4_Day_7[[#This Row],[Activity]],Types_of_Activity[Type of Activity],Types_of_Activity[Classification])=2,Term4_Day_7[[#This Row],[Elapsed]],0))</f>
        <v/>
      </c>
      <c r="AX34" s="106"/>
      <c r="AY34" s="135"/>
      <c r="AZ34" s="135"/>
      <c r="BA34" s="102"/>
      <c r="BB34" s="105" t="str">
        <f>IF(OR(ISBLANK(Term4_Day_8[[#This Row],[Start]]),ISBLANK(Term4_Day_8[[#This Row],[End]])),"",(Term4_Day_8[[#This Row],[End]]-Term4_Day_8[[#This Row],[Start]])*1440)</f>
        <v/>
      </c>
      <c r="BC34" s="105" t="str">
        <f>IF(ISBLANK(Term4_Day_8[[#This Row],[Activity]]),"",IF(_xlfn.XLOOKUP(Term4_Day_8[[#This Row],[Activity]],Types_of_Activity[Type of Activity],Types_of_Activity[Classification])=1,Term4_Day_8[[#This Row],[Elapsed]],0))</f>
        <v/>
      </c>
      <c r="BD34" s="105" t="str">
        <f>IF(ISBLANK(Term4_Day_8[[#This Row],[Activity]]),"",IF(_xlfn.XLOOKUP(Term4_Day_8[[#This Row],[Activity]],Types_of_Activity[Type of Activity],Types_of_Activity[Classification])=2,Term4_Day_8[[#This Row],[Elapsed]],0))</f>
        <v/>
      </c>
      <c r="BE34" s="106"/>
      <c r="BF34" s="135"/>
      <c r="BG34" s="135"/>
      <c r="BH34" s="102"/>
      <c r="BI34" s="105" t="str">
        <f>IF(OR(ISBLANK(Term4_Day_9[[#This Row],[Start]]),ISBLANK(Term4_Day_9[[#This Row],[End]])),"",(Term4_Day_9[[#This Row],[End]]-Term4_Day_9[[#This Row],[Start]])*1440)</f>
        <v/>
      </c>
      <c r="BJ34" s="105" t="str">
        <f>IF(ISBLANK(Term4_Day_9[[#This Row],[Activity]]),"",IF(_xlfn.XLOOKUP(Term4_Day_9[[#This Row],[Activity]],Types_of_Activity[Type of Activity],Types_of_Activity[Classification])=1,Term4_Day_9[[#This Row],[Elapsed]],0))</f>
        <v/>
      </c>
      <c r="BK34" s="105" t="str">
        <f>IF(ISBLANK(Term4_Day_9[[#This Row],[Activity]]),"",IF(_xlfn.XLOOKUP(Term4_Day_9[[#This Row],[Activity]],Types_of_Activity[Type of Activity],Types_of_Activity[Classification])=2,Term4_Day_9[[#This Row],[Elapsed]],0))</f>
        <v/>
      </c>
      <c r="BL34" s="106"/>
      <c r="BM34" s="135"/>
      <c r="BN34" s="135"/>
      <c r="BO34" s="102"/>
      <c r="BP34" s="105" t="str">
        <f>IF(OR(ISBLANK(Term4_Day_10[[#This Row],[Start]]),ISBLANK(Term4_Day_10[[#This Row],[End]])),"",(Term4_Day_10[[#This Row],[End]]-Term4_Day_10[[#This Row],[Start]])*1440)</f>
        <v/>
      </c>
      <c r="BQ34" s="105" t="str">
        <f>IF(ISBLANK(Term4_Day_10[[#This Row],[Activity]]),"",IF(_xlfn.XLOOKUP(Term4_Day_10[[#This Row],[Activity]],Types_of_Activity[Type of Activity],Types_of_Activity[Classification])=1,Term4_Day_10[[#This Row],[Elapsed]],0))</f>
        <v/>
      </c>
      <c r="BR34" s="105" t="str">
        <f>IF(ISBLANK(Term4_Day_10[[#This Row],[Activity]]),"",IF(_xlfn.XLOOKUP(Term4_Day_10[[#This Row],[Activity]],Types_of_Activity[Type of Activity],Types_of_Activity[Classification])=2,Term4_Day_10[[#This Row],[Elapsed]],0))</f>
        <v/>
      </c>
      <c r="BS34" s="106"/>
    </row>
    <row r="35" spans="2:71" x14ac:dyDescent="0.3">
      <c r="B35" s="135"/>
      <c r="C35" s="135"/>
      <c r="D35" s="102"/>
      <c r="E35" s="105" t="str">
        <f>IF(OR(ISBLANK(Term4_Day_1[[#This Row],[Start]]),ISBLANK(Term4_Day_1[[#This Row],[End]])),"",(Term4_Day_1[[#This Row],[End]]-Term4_Day_1[[#This Row],[Start]])*1440)</f>
        <v/>
      </c>
      <c r="F35" s="105" t="str">
        <f>IF(ISBLANK(Term4_Day_1[[#This Row],[Activity]]),"",IF(_xlfn.XLOOKUP(Term4_Day_1[[#This Row],[Activity]],Types_of_Activity[Type of Activity],Types_of_Activity[Classification])=1,Term4_Day_1[[#This Row],[Elapsed]],0))</f>
        <v/>
      </c>
      <c r="G35" s="105" t="str">
        <f>IF(ISBLANK(Term4_Day_1[[#This Row],[Activity]]),"",IF(_xlfn.XLOOKUP(Term4_Day_1[[#This Row],[Activity]],Types_of_Activity[Type of Activity],Types_of_Activity[Classification])=2,Term4_Day_1[[#This Row],[Elapsed]],0))</f>
        <v/>
      </c>
      <c r="I35" s="135"/>
      <c r="J35" s="135"/>
      <c r="K35" s="102"/>
      <c r="L35" s="105" t="str">
        <f>IF(OR(ISBLANK(Term4_Day_2[[#This Row],[Start]]),ISBLANK(Term4_Day_2[[#This Row],[End]])),"",(Term4_Day_2[[#This Row],[End]]-Term4_Day_2[[#This Row],[Start]])*1440)</f>
        <v/>
      </c>
      <c r="M35" s="105" t="str">
        <f>IF(ISBLANK(Term4_Day_2[[#This Row],[Activity]]),"",IF(_xlfn.XLOOKUP(Term4_Day_2[[#This Row],[Activity]],Types_of_Activity[Type of Activity],Types_of_Activity[Classification])=1,Term4_Day_2[[#This Row],[Elapsed]],0))</f>
        <v/>
      </c>
      <c r="N35" s="105" t="str">
        <f>IF(ISBLANK(Term4_Day_2[[#This Row],[Activity]]),"",IF(_xlfn.XLOOKUP(Term4_Day_2[[#This Row],[Activity]],Types_of_Activity[Type of Activity],Types_of_Activity[Classification])=2,Term4_Day_2[[#This Row],[Elapsed]],0))</f>
        <v/>
      </c>
      <c r="P35" s="135"/>
      <c r="Q35" s="135"/>
      <c r="R35" s="102"/>
      <c r="S35" s="105" t="str">
        <f>IF(OR(ISBLANK(Term4_Day_3[[#This Row],[Start]]),ISBLANK(Term4_Day_3[[#This Row],[End]])),"",(Term4_Day_3[[#This Row],[End]]-Term4_Day_3[[#This Row],[Start]])*1440)</f>
        <v/>
      </c>
      <c r="T35" s="105" t="str">
        <f>IF(ISBLANK(Term4_Day_3[[#This Row],[Activity]]),"",IF(_xlfn.XLOOKUP(Term4_Day_3[[#This Row],[Activity]],Types_of_Activity[Type of Activity],Types_of_Activity[Classification])=1,Term4_Day_3[[#This Row],[Elapsed]],0))</f>
        <v/>
      </c>
      <c r="U35" s="105" t="str">
        <f>IF(ISBLANK(Term4_Day_3[[#This Row],[Activity]]),"",IF(_xlfn.XLOOKUP(Term4_Day_3[[#This Row],[Activity]],Types_of_Activity[Type of Activity],Types_of_Activity[Classification])=2,Term4_Day_3[[#This Row],[Elapsed]],0))</f>
        <v/>
      </c>
      <c r="W35" s="135"/>
      <c r="X35" s="135"/>
      <c r="Y35" s="102"/>
      <c r="Z35" s="105" t="str">
        <f>IF(OR(ISBLANK(Term4_Day_4[[#This Row],[Start]]),ISBLANK(Term4_Day_4[[#This Row],[End]])),"",(Term4_Day_4[[#This Row],[End]]-Term4_Day_4[[#This Row],[Start]])*1440)</f>
        <v/>
      </c>
      <c r="AA35" s="105" t="str">
        <f>IF(ISBLANK(Term4_Day_4[[#This Row],[Activity]]),"",IF(_xlfn.XLOOKUP(Term4_Day_4[[#This Row],[Activity]],Types_of_Activity[Type of Activity],Types_of_Activity[Classification])=1,Term4_Day_4[[#This Row],[Elapsed]],0))</f>
        <v/>
      </c>
      <c r="AB35" s="105" t="str">
        <f>IF(ISBLANK(Term4_Day_4[[#This Row],[Activity]]),"",IF(_xlfn.XLOOKUP(Term4_Day_4[[#This Row],[Activity]],Types_of_Activity[Type of Activity],Types_of_Activity[Classification])=2,Term4_Day_4[[#This Row],[Elapsed]],0))</f>
        <v/>
      </c>
      <c r="AD35" s="135"/>
      <c r="AE35" s="135"/>
      <c r="AF35" s="102"/>
      <c r="AG35" s="105" t="str">
        <f>IF(OR(ISBLANK(Term4_Day_5[[#This Row],[Start]]),ISBLANK(Term4_Day_5[[#This Row],[End]])),"",(Term4_Day_5[[#This Row],[End]]-Term4_Day_5[[#This Row],[Start]])*1440)</f>
        <v/>
      </c>
      <c r="AH35" s="105" t="str">
        <f>IF(ISBLANK(Term4_Day_5[[#This Row],[Activity]]),"",IF(_xlfn.XLOOKUP(Term4_Day_5[[#This Row],[Activity]],Types_of_Activity[Type of Activity],Types_of_Activity[Classification])=1,Term4_Day_5[[#This Row],[Elapsed]],0))</f>
        <v/>
      </c>
      <c r="AI35" s="105" t="str">
        <f>IF(ISBLANK(Term4_Day_5[[#This Row],[Activity]]),"",IF(_xlfn.XLOOKUP(Term4_Day_5[[#This Row],[Activity]],Types_of_Activity[Type of Activity],Types_of_Activity[Classification])=2,Term4_Day_5[[#This Row],[Elapsed]],0))</f>
        <v/>
      </c>
      <c r="AJ35" s="106"/>
      <c r="AK35" s="135"/>
      <c r="AL35" s="135"/>
      <c r="AM35" s="102"/>
      <c r="AN35" s="105" t="str">
        <f>IF(OR(ISBLANK(Term4_Day_6[[#This Row],[Start]]),ISBLANK(Term4_Day_6[[#This Row],[End]])),"",(Term4_Day_6[[#This Row],[End]]-Term4_Day_6[[#This Row],[Start]])*1440)</f>
        <v/>
      </c>
      <c r="AO35" s="105" t="str">
        <f>IF(ISBLANK(Term4_Day_6[[#This Row],[Activity]]),"",IF(_xlfn.XLOOKUP(Term4_Day_6[[#This Row],[Activity]],Types_of_Activity[Type of Activity],Types_of_Activity[Classification])=1,Term4_Day_6[[#This Row],[Elapsed]],0))</f>
        <v/>
      </c>
      <c r="AP35" s="105" t="str">
        <f>IF(ISBLANK(Term4_Day_6[[#This Row],[Activity]]),"",IF(_xlfn.XLOOKUP(Term4_Day_6[[#This Row],[Activity]],Types_of_Activity[Type of Activity],Types_of_Activity[Classification])=2,Term4_Day_6[[#This Row],[Elapsed]],0))</f>
        <v/>
      </c>
      <c r="AQ35" s="106"/>
      <c r="AR35" s="135"/>
      <c r="AS35" s="135"/>
      <c r="AT35" s="102"/>
      <c r="AU35" s="105" t="str">
        <f>IF(OR(ISBLANK(Term4_Day_7[[#This Row],[Start]]),ISBLANK(Term4_Day_7[[#This Row],[End]])),"",(Term4_Day_7[[#This Row],[End]]-Term4_Day_7[[#This Row],[Start]])*1440)</f>
        <v/>
      </c>
      <c r="AV35" s="105" t="str">
        <f>IF(ISBLANK(Term4_Day_7[[#This Row],[Activity]]),"",IF(_xlfn.XLOOKUP(Term4_Day_7[[#This Row],[Activity]],Types_of_Activity[Type of Activity],Types_of_Activity[Classification])=1,Term4_Day_7[[#This Row],[Elapsed]],0))</f>
        <v/>
      </c>
      <c r="AW35" s="105" t="str">
        <f>IF(ISBLANK(Term4_Day_7[[#This Row],[Activity]]),"",IF(_xlfn.XLOOKUP(Term4_Day_7[[#This Row],[Activity]],Types_of_Activity[Type of Activity],Types_of_Activity[Classification])=2,Term4_Day_7[[#This Row],[Elapsed]],0))</f>
        <v/>
      </c>
      <c r="AX35" s="106"/>
      <c r="AY35" s="135"/>
      <c r="AZ35" s="135"/>
      <c r="BA35" s="102"/>
      <c r="BB35" s="105" t="str">
        <f>IF(OR(ISBLANK(Term4_Day_8[[#This Row],[Start]]),ISBLANK(Term4_Day_8[[#This Row],[End]])),"",(Term4_Day_8[[#This Row],[End]]-Term4_Day_8[[#This Row],[Start]])*1440)</f>
        <v/>
      </c>
      <c r="BC35" s="105" t="str">
        <f>IF(ISBLANK(Term4_Day_8[[#This Row],[Activity]]),"",IF(_xlfn.XLOOKUP(Term4_Day_8[[#This Row],[Activity]],Types_of_Activity[Type of Activity],Types_of_Activity[Classification])=1,Term4_Day_8[[#This Row],[Elapsed]],0))</f>
        <v/>
      </c>
      <c r="BD35" s="105" t="str">
        <f>IF(ISBLANK(Term4_Day_8[[#This Row],[Activity]]),"",IF(_xlfn.XLOOKUP(Term4_Day_8[[#This Row],[Activity]],Types_of_Activity[Type of Activity],Types_of_Activity[Classification])=2,Term4_Day_8[[#This Row],[Elapsed]],0))</f>
        <v/>
      </c>
      <c r="BE35" s="106"/>
      <c r="BF35" s="135"/>
      <c r="BG35" s="135"/>
      <c r="BH35" s="102"/>
      <c r="BI35" s="105" t="str">
        <f>IF(OR(ISBLANK(Term4_Day_9[[#This Row],[Start]]),ISBLANK(Term4_Day_9[[#This Row],[End]])),"",(Term4_Day_9[[#This Row],[End]]-Term4_Day_9[[#This Row],[Start]])*1440)</f>
        <v/>
      </c>
      <c r="BJ35" s="105" t="str">
        <f>IF(ISBLANK(Term4_Day_9[[#This Row],[Activity]]),"",IF(_xlfn.XLOOKUP(Term4_Day_9[[#This Row],[Activity]],Types_of_Activity[Type of Activity],Types_of_Activity[Classification])=1,Term4_Day_9[[#This Row],[Elapsed]],0))</f>
        <v/>
      </c>
      <c r="BK35" s="105" t="str">
        <f>IF(ISBLANK(Term4_Day_9[[#This Row],[Activity]]),"",IF(_xlfn.XLOOKUP(Term4_Day_9[[#This Row],[Activity]],Types_of_Activity[Type of Activity],Types_of_Activity[Classification])=2,Term4_Day_9[[#This Row],[Elapsed]],0))</f>
        <v/>
      </c>
      <c r="BL35" s="106"/>
      <c r="BM35" s="135"/>
      <c r="BN35" s="135"/>
      <c r="BO35" s="102"/>
      <c r="BP35" s="105" t="str">
        <f>IF(OR(ISBLANK(Term4_Day_10[[#This Row],[Start]]),ISBLANK(Term4_Day_10[[#This Row],[End]])),"",(Term4_Day_10[[#This Row],[End]]-Term4_Day_10[[#This Row],[Start]])*1440)</f>
        <v/>
      </c>
      <c r="BQ35" s="105" t="str">
        <f>IF(ISBLANK(Term4_Day_10[[#This Row],[Activity]]),"",IF(_xlfn.XLOOKUP(Term4_Day_10[[#This Row],[Activity]],Types_of_Activity[Type of Activity],Types_of_Activity[Classification])=1,Term4_Day_10[[#This Row],[Elapsed]],0))</f>
        <v/>
      </c>
      <c r="BR35" s="105" t="str">
        <f>IF(ISBLANK(Term4_Day_10[[#This Row],[Activity]]),"",IF(_xlfn.XLOOKUP(Term4_Day_10[[#This Row],[Activity]],Types_of_Activity[Type of Activity],Types_of_Activity[Classification])=2,Term4_Day_10[[#This Row],[Elapsed]],0))</f>
        <v/>
      </c>
      <c r="BS35" s="106"/>
    </row>
    <row r="36" spans="2:71" x14ac:dyDescent="0.3">
      <c r="B36" s="135"/>
      <c r="C36" s="135"/>
      <c r="D36" s="102"/>
      <c r="E36" s="105" t="str">
        <f>IF(OR(ISBLANK(Term4_Day_1[[#This Row],[Start]]),ISBLANK(Term4_Day_1[[#This Row],[End]])),"",(Term4_Day_1[[#This Row],[End]]-Term4_Day_1[[#This Row],[Start]])*1440)</f>
        <v/>
      </c>
      <c r="F36" s="105" t="str">
        <f>IF(ISBLANK(Term4_Day_1[[#This Row],[Activity]]),"",IF(_xlfn.XLOOKUP(Term4_Day_1[[#This Row],[Activity]],Types_of_Activity[Type of Activity],Types_of_Activity[Classification])=1,Term4_Day_1[[#This Row],[Elapsed]],0))</f>
        <v/>
      </c>
      <c r="G36" s="105" t="str">
        <f>IF(ISBLANK(Term4_Day_1[[#This Row],[Activity]]),"",IF(_xlfn.XLOOKUP(Term4_Day_1[[#This Row],[Activity]],Types_of_Activity[Type of Activity],Types_of_Activity[Classification])=2,Term4_Day_1[[#This Row],[Elapsed]],0))</f>
        <v/>
      </c>
      <c r="I36" s="135"/>
      <c r="J36" s="135"/>
      <c r="K36" s="102"/>
      <c r="L36" s="105" t="str">
        <f>IF(OR(ISBLANK(Term4_Day_2[[#This Row],[Start]]),ISBLANK(Term4_Day_2[[#This Row],[End]])),"",(Term4_Day_2[[#This Row],[End]]-Term4_Day_2[[#This Row],[Start]])*1440)</f>
        <v/>
      </c>
      <c r="M36" s="105" t="str">
        <f>IF(ISBLANK(Term4_Day_2[[#This Row],[Activity]]),"",IF(_xlfn.XLOOKUP(Term4_Day_2[[#This Row],[Activity]],Types_of_Activity[Type of Activity],Types_of_Activity[Classification])=1,Term4_Day_2[[#This Row],[Elapsed]],0))</f>
        <v/>
      </c>
      <c r="N36" s="105" t="str">
        <f>IF(ISBLANK(Term4_Day_2[[#This Row],[Activity]]),"",IF(_xlfn.XLOOKUP(Term4_Day_2[[#This Row],[Activity]],Types_of_Activity[Type of Activity],Types_of_Activity[Classification])=2,Term4_Day_2[[#This Row],[Elapsed]],0))</f>
        <v/>
      </c>
      <c r="P36" s="135"/>
      <c r="Q36" s="135"/>
      <c r="R36" s="102"/>
      <c r="S36" s="105" t="str">
        <f>IF(OR(ISBLANK(Term4_Day_3[[#This Row],[Start]]),ISBLANK(Term4_Day_3[[#This Row],[End]])),"",(Term4_Day_3[[#This Row],[End]]-Term4_Day_3[[#This Row],[Start]])*1440)</f>
        <v/>
      </c>
      <c r="T36" s="105" t="str">
        <f>IF(ISBLANK(Term4_Day_3[[#This Row],[Activity]]),"",IF(_xlfn.XLOOKUP(Term4_Day_3[[#This Row],[Activity]],Types_of_Activity[Type of Activity],Types_of_Activity[Classification])=1,Term4_Day_3[[#This Row],[Elapsed]],0))</f>
        <v/>
      </c>
      <c r="U36" s="105" t="str">
        <f>IF(ISBLANK(Term4_Day_3[[#This Row],[Activity]]),"",IF(_xlfn.XLOOKUP(Term4_Day_3[[#This Row],[Activity]],Types_of_Activity[Type of Activity],Types_of_Activity[Classification])=2,Term4_Day_3[[#This Row],[Elapsed]],0))</f>
        <v/>
      </c>
      <c r="W36" s="135"/>
      <c r="X36" s="135"/>
      <c r="Y36" s="102"/>
      <c r="Z36" s="105" t="str">
        <f>IF(OR(ISBLANK(Term4_Day_4[[#This Row],[Start]]),ISBLANK(Term4_Day_4[[#This Row],[End]])),"",(Term4_Day_4[[#This Row],[End]]-Term4_Day_4[[#This Row],[Start]])*1440)</f>
        <v/>
      </c>
      <c r="AA36" s="105" t="str">
        <f>IF(ISBLANK(Term4_Day_4[[#This Row],[Activity]]),"",IF(_xlfn.XLOOKUP(Term4_Day_4[[#This Row],[Activity]],Types_of_Activity[Type of Activity],Types_of_Activity[Classification])=1,Term4_Day_4[[#This Row],[Elapsed]],0))</f>
        <v/>
      </c>
      <c r="AB36" s="105" t="str">
        <f>IF(ISBLANK(Term4_Day_4[[#This Row],[Activity]]),"",IF(_xlfn.XLOOKUP(Term4_Day_4[[#This Row],[Activity]],Types_of_Activity[Type of Activity],Types_of_Activity[Classification])=2,Term4_Day_4[[#This Row],[Elapsed]],0))</f>
        <v/>
      </c>
      <c r="AD36" s="135"/>
      <c r="AE36" s="135"/>
      <c r="AF36" s="102"/>
      <c r="AG36" s="105" t="str">
        <f>IF(OR(ISBLANK(Term4_Day_5[[#This Row],[Start]]),ISBLANK(Term4_Day_5[[#This Row],[End]])),"",(Term4_Day_5[[#This Row],[End]]-Term4_Day_5[[#This Row],[Start]])*1440)</f>
        <v/>
      </c>
      <c r="AH36" s="105" t="str">
        <f>IF(ISBLANK(Term4_Day_5[[#This Row],[Activity]]),"",IF(_xlfn.XLOOKUP(Term4_Day_5[[#This Row],[Activity]],Types_of_Activity[Type of Activity],Types_of_Activity[Classification])=1,Term4_Day_5[[#This Row],[Elapsed]],0))</f>
        <v/>
      </c>
      <c r="AI36" s="105" t="str">
        <f>IF(ISBLANK(Term4_Day_5[[#This Row],[Activity]]),"",IF(_xlfn.XLOOKUP(Term4_Day_5[[#This Row],[Activity]],Types_of_Activity[Type of Activity],Types_of_Activity[Classification])=2,Term4_Day_5[[#This Row],[Elapsed]],0))</f>
        <v/>
      </c>
      <c r="AJ36" s="106"/>
      <c r="AK36" s="135"/>
      <c r="AL36" s="135"/>
      <c r="AM36" s="102"/>
      <c r="AN36" s="105" t="str">
        <f>IF(OR(ISBLANK(Term4_Day_6[[#This Row],[Start]]),ISBLANK(Term4_Day_6[[#This Row],[End]])),"",(Term4_Day_6[[#This Row],[End]]-Term4_Day_6[[#This Row],[Start]])*1440)</f>
        <v/>
      </c>
      <c r="AO36" s="105" t="str">
        <f>IF(ISBLANK(Term4_Day_6[[#This Row],[Activity]]),"",IF(_xlfn.XLOOKUP(Term4_Day_6[[#This Row],[Activity]],Types_of_Activity[Type of Activity],Types_of_Activity[Classification])=1,Term4_Day_6[[#This Row],[Elapsed]],0))</f>
        <v/>
      </c>
      <c r="AP36" s="105" t="str">
        <f>IF(ISBLANK(Term4_Day_6[[#This Row],[Activity]]),"",IF(_xlfn.XLOOKUP(Term4_Day_6[[#This Row],[Activity]],Types_of_Activity[Type of Activity],Types_of_Activity[Classification])=2,Term4_Day_6[[#This Row],[Elapsed]],0))</f>
        <v/>
      </c>
      <c r="AQ36" s="106"/>
      <c r="AR36" s="135"/>
      <c r="AS36" s="135"/>
      <c r="AT36" s="102"/>
      <c r="AU36" s="105" t="str">
        <f>IF(OR(ISBLANK(Term4_Day_7[[#This Row],[Start]]),ISBLANK(Term4_Day_7[[#This Row],[End]])),"",(Term4_Day_7[[#This Row],[End]]-Term4_Day_7[[#This Row],[Start]])*1440)</f>
        <v/>
      </c>
      <c r="AV36" s="105" t="str">
        <f>IF(ISBLANK(Term4_Day_7[[#This Row],[Activity]]),"",IF(_xlfn.XLOOKUP(Term4_Day_7[[#This Row],[Activity]],Types_of_Activity[Type of Activity],Types_of_Activity[Classification])=1,Term4_Day_7[[#This Row],[Elapsed]],0))</f>
        <v/>
      </c>
      <c r="AW36" s="105" t="str">
        <f>IF(ISBLANK(Term4_Day_7[[#This Row],[Activity]]),"",IF(_xlfn.XLOOKUP(Term4_Day_7[[#This Row],[Activity]],Types_of_Activity[Type of Activity],Types_of_Activity[Classification])=2,Term4_Day_7[[#This Row],[Elapsed]],0))</f>
        <v/>
      </c>
      <c r="AX36" s="106"/>
      <c r="AY36" s="135"/>
      <c r="AZ36" s="135"/>
      <c r="BA36" s="102"/>
      <c r="BB36" s="105" t="str">
        <f>IF(OR(ISBLANK(Term4_Day_8[[#This Row],[Start]]),ISBLANK(Term4_Day_8[[#This Row],[End]])),"",(Term4_Day_8[[#This Row],[End]]-Term4_Day_8[[#This Row],[Start]])*1440)</f>
        <v/>
      </c>
      <c r="BC36" s="105" t="str">
        <f>IF(ISBLANK(Term4_Day_8[[#This Row],[Activity]]),"",IF(_xlfn.XLOOKUP(Term4_Day_8[[#This Row],[Activity]],Types_of_Activity[Type of Activity],Types_of_Activity[Classification])=1,Term4_Day_8[[#This Row],[Elapsed]],0))</f>
        <v/>
      </c>
      <c r="BD36" s="105" t="str">
        <f>IF(ISBLANK(Term4_Day_8[[#This Row],[Activity]]),"",IF(_xlfn.XLOOKUP(Term4_Day_8[[#This Row],[Activity]],Types_of_Activity[Type of Activity],Types_of_Activity[Classification])=2,Term4_Day_8[[#This Row],[Elapsed]],0))</f>
        <v/>
      </c>
      <c r="BE36" s="106"/>
      <c r="BF36" s="135"/>
      <c r="BG36" s="135"/>
      <c r="BH36" s="102"/>
      <c r="BI36" s="105" t="str">
        <f>IF(OR(ISBLANK(Term4_Day_9[[#This Row],[Start]]),ISBLANK(Term4_Day_9[[#This Row],[End]])),"",(Term4_Day_9[[#This Row],[End]]-Term4_Day_9[[#This Row],[Start]])*1440)</f>
        <v/>
      </c>
      <c r="BJ36" s="105" t="str">
        <f>IF(ISBLANK(Term4_Day_9[[#This Row],[Activity]]),"",IF(_xlfn.XLOOKUP(Term4_Day_9[[#This Row],[Activity]],Types_of_Activity[Type of Activity],Types_of_Activity[Classification])=1,Term4_Day_9[[#This Row],[Elapsed]],0))</f>
        <v/>
      </c>
      <c r="BK36" s="105" t="str">
        <f>IF(ISBLANK(Term4_Day_9[[#This Row],[Activity]]),"",IF(_xlfn.XLOOKUP(Term4_Day_9[[#This Row],[Activity]],Types_of_Activity[Type of Activity],Types_of_Activity[Classification])=2,Term4_Day_9[[#This Row],[Elapsed]],0))</f>
        <v/>
      </c>
      <c r="BL36" s="106"/>
      <c r="BM36" s="135"/>
      <c r="BN36" s="135"/>
      <c r="BO36" s="102"/>
      <c r="BP36" s="105" t="str">
        <f>IF(OR(ISBLANK(Term4_Day_10[[#This Row],[Start]]),ISBLANK(Term4_Day_10[[#This Row],[End]])),"",(Term4_Day_10[[#This Row],[End]]-Term4_Day_10[[#This Row],[Start]])*1440)</f>
        <v/>
      </c>
      <c r="BQ36" s="105" t="str">
        <f>IF(ISBLANK(Term4_Day_10[[#This Row],[Activity]]),"",IF(_xlfn.XLOOKUP(Term4_Day_10[[#This Row],[Activity]],Types_of_Activity[Type of Activity],Types_of_Activity[Classification])=1,Term4_Day_10[[#This Row],[Elapsed]],0))</f>
        <v/>
      </c>
      <c r="BR36" s="105" t="str">
        <f>IF(ISBLANK(Term4_Day_10[[#This Row],[Activity]]),"",IF(_xlfn.XLOOKUP(Term4_Day_10[[#This Row],[Activity]],Types_of_Activity[Type of Activity],Types_of_Activity[Classification])=2,Term4_Day_10[[#This Row],[Elapsed]],0))</f>
        <v/>
      </c>
      <c r="BS36" s="106"/>
    </row>
    <row r="37" spans="2:71" x14ac:dyDescent="0.3">
      <c r="B37" s="135"/>
      <c r="C37" s="135"/>
      <c r="D37" s="102"/>
      <c r="E37" s="105" t="str">
        <f>IF(OR(ISBLANK(Term4_Day_1[[#This Row],[Start]]),ISBLANK(Term4_Day_1[[#This Row],[End]])),"",(Term4_Day_1[[#This Row],[End]]-Term4_Day_1[[#This Row],[Start]])*1440)</f>
        <v/>
      </c>
      <c r="F37" s="105" t="str">
        <f>IF(ISBLANK(Term4_Day_1[[#This Row],[Activity]]),"",IF(_xlfn.XLOOKUP(Term4_Day_1[[#This Row],[Activity]],Types_of_Activity[Type of Activity],Types_of_Activity[Classification])=1,Term4_Day_1[[#This Row],[Elapsed]],0))</f>
        <v/>
      </c>
      <c r="G37" s="105" t="str">
        <f>IF(ISBLANK(Term4_Day_1[[#This Row],[Activity]]),"",IF(_xlfn.XLOOKUP(Term4_Day_1[[#This Row],[Activity]],Types_of_Activity[Type of Activity],Types_of_Activity[Classification])=2,Term4_Day_1[[#This Row],[Elapsed]],0))</f>
        <v/>
      </c>
      <c r="I37" s="135"/>
      <c r="J37" s="135"/>
      <c r="K37" s="102"/>
      <c r="L37" s="105" t="str">
        <f>IF(OR(ISBLANK(Term4_Day_2[[#This Row],[Start]]),ISBLANK(Term4_Day_2[[#This Row],[End]])),"",(Term4_Day_2[[#This Row],[End]]-Term4_Day_2[[#This Row],[Start]])*1440)</f>
        <v/>
      </c>
      <c r="M37" s="105" t="str">
        <f>IF(ISBLANK(Term4_Day_2[[#This Row],[Activity]]),"",IF(_xlfn.XLOOKUP(Term4_Day_2[[#This Row],[Activity]],Types_of_Activity[Type of Activity],Types_of_Activity[Classification])=1,Term4_Day_2[[#This Row],[Elapsed]],0))</f>
        <v/>
      </c>
      <c r="N37" s="105" t="str">
        <f>IF(ISBLANK(Term4_Day_2[[#This Row],[Activity]]),"",IF(_xlfn.XLOOKUP(Term4_Day_2[[#This Row],[Activity]],Types_of_Activity[Type of Activity],Types_of_Activity[Classification])=2,Term4_Day_2[[#This Row],[Elapsed]],0))</f>
        <v/>
      </c>
      <c r="P37" s="135"/>
      <c r="Q37" s="135"/>
      <c r="R37" s="102"/>
      <c r="S37" s="105" t="str">
        <f>IF(OR(ISBLANK(Term4_Day_3[[#This Row],[Start]]),ISBLANK(Term4_Day_3[[#This Row],[End]])),"",(Term4_Day_3[[#This Row],[End]]-Term4_Day_3[[#This Row],[Start]])*1440)</f>
        <v/>
      </c>
      <c r="T37" s="105" t="str">
        <f>IF(ISBLANK(Term4_Day_3[[#This Row],[Activity]]),"",IF(_xlfn.XLOOKUP(Term4_Day_3[[#This Row],[Activity]],Types_of_Activity[Type of Activity],Types_of_Activity[Classification])=1,Term4_Day_3[[#This Row],[Elapsed]],0))</f>
        <v/>
      </c>
      <c r="U37" s="105" t="str">
        <f>IF(ISBLANK(Term4_Day_3[[#This Row],[Activity]]),"",IF(_xlfn.XLOOKUP(Term4_Day_3[[#This Row],[Activity]],Types_of_Activity[Type of Activity],Types_of_Activity[Classification])=2,Term4_Day_3[[#This Row],[Elapsed]],0))</f>
        <v/>
      </c>
      <c r="W37" s="135"/>
      <c r="X37" s="135"/>
      <c r="Y37" s="102"/>
      <c r="Z37" s="105" t="str">
        <f>IF(OR(ISBLANK(Term4_Day_4[[#This Row],[Start]]),ISBLANK(Term4_Day_4[[#This Row],[End]])),"",(Term4_Day_4[[#This Row],[End]]-Term4_Day_4[[#This Row],[Start]])*1440)</f>
        <v/>
      </c>
      <c r="AA37" s="105" t="str">
        <f>IF(ISBLANK(Term4_Day_4[[#This Row],[Activity]]),"",IF(_xlfn.XLOOKUP(Term4_Day_4[[#This Row],[Activity]],Types_of_Activity[Type of Activity],Types_of_Activity[Classification])=1,Term4_Day_4[[#This Row],[Elapsed]],0))</f>
        <v/>
      </c>
      <c r="AB37" s="105" t="str">
        <f>IF(ISBLANK(Term4_Day_4[[#This Row],[Activity]]),"",IF(_xlfn.XLOOKUP(Term4_Day_4[[#This Row],[Activity]],Types_of_Activity[Type of Activity],Types_of_Activity[Classification])=2,Term4_Day_4[[#This Row],[Elapsed]],0))</f>
        <v/>
      </c>
      <c r="AD37" s="135"/>
      <c r="AE37" s="135"/>
      <c r="AF37" s="102"/>
      <c r="AG37" s="105" t="str">
        <f>IF(OR(ISBLANK(Term4_Day_5[[#This Row],[Start]]),ISBLANK(Term4_Day_5[[#This Row],[End]])),"",(Term4_Day_5[[#This Row],[End]]-Term4_Day_5[[#This Row],[Start]])*1440)</f>
        <v/>
      </c>
      <c r="AH37" s="105" t="str">
        <f>IF(ISBLANK(Term4_Day_5[[#This Row],[Activity]]),"",IF(_xlfn.XLOOKUP(Term4_Day_5[[#This Row],[Activity]],Types_of_Activity[Type of Activity],Types_of_Activity[Classification])=1,Term4_Day_5[[#This Row],[Elapsed]],0))</f>
        <v/>
      </c>
      <c r="AI37" s="105" t="str">
        <f>IF(ISBLANK(Term4_Day_5[[#This Row],[Activity]]),"",IF(_xlfn.XLOOKUP(Term4_Day_5[[#This Row],[Activity]],Types_of_Activity[Type of Activity],Types_of_Activity[Classification])=2,Term4_Day_5[[#This Row],[Elapsed]],0))</f>
        <v/>
      </c>
      <c r="AJ37" s="106"/>
      <c r="AK37" s="135"/>
      <c r="AL37" s="135"/>
      <c r="AM37" s="102"/>
      <c r="AN37" s="105" t="str">
        <f>IF(OR(ISBLANK(Term4_Day_6[[#This Row],[Start]]),ISBLANK(Term4_Day_6[[#This Row],[End]])),"",(Term4_Day_6[[#This Row],[End]]-Term4_Day_6[[#This Row],[Start]])*1440)</f>
        <v/>
      </c>
      <c r="AO37" s="105" t="str">
        <f>IF(ISBLANK(Term4_Day_6[[#This Row],[Activity]]),"",IF(_xlfn.XLOOKUP(Term4_Day_6[[#This Row],[Activity]],Types_of_Activity[Type of Activity],Types_of_Activity[Classification])=1,Term4_Day_6[[#This Row],[Elapsed]],0))</f>
        <v/>
      </c>
      <c r="AP37" s="105" t="str">
        <f>IF(ISBLANK(Term4_Day_6[[#This Row],[Activity]]),"",IF(_xlfn.XLOOKUP(Term4_Day_6[[#This Row],[Activity]],Types_of_Activity[Type of Activity],Types_of_Activity[Classification])=2,Term4_Day_6[[#This Row],[Elapsed]],0))</f>
        <v/>
      </c>
      <c r="AQ37" s="106"/>
      <c r="AR37" s="135"/>
      <c r="AS37" s="135"/>
      <c r="AT37" s="102"/>
      <c r="AU37" s="105" t="str">
        <f>IF(OR(ISBLANK(Term4_Day_7[[#This Row],[Start]]),ISBLANK(Term4_Day_7[[#This Row],[End]])),"",(Term4_Day_7[[#This Row],[End]]-Term4_Day_7[[#This Row],[Start]])*1440)</f>
        <v/>
      </c>
      <c r="AV37" s="105" t="str">
        <f>IF(ISBLANK(Term4_Day_7[[#This Row],[Activity]]),"",IF(_xlfn.XLOOKUP(Term4_Day_7[[#This Row],[Activity]],Types_of_Activity[Type of Activity],Types_of_Activity[Classification])=1,Term4_Day_7[[#This Row],[Elapsed]],0))</f>
        <v/>
      </c>
      <c r="AW37" s="105" t="str">
        <f>IF(ISBLANK(Term4_Day_7[[#This Row],[Activity]]),"",IF(_xlfn.XLOOKUP(Term4_Day_7[[#This Row],[Activity]],Types_of_Activity[Type of Activity],Types_of_Activity[Classification])=2,Term4_Day_7[[#This Row],[Elapsed]],0))</f>
        <v/>
      </c>
      <c r="AX37" s="106"/>
      <c r="AY37" s="135"/>
      <c r="AZ37" s="135"/>
      <c r="BA37" s="102"/>
      <c r="BB37" s="105" t="str">
        <f>IF(OR(ISBLANK(Term4_Day_8[[#This Row],[Start]]),ISBLANK(Term4_Day_8[[#This Row],[End]])),"",(Term4_Day_8[[#This Row],[End]]-Term4_Day_8[[#This Row],[Start]])*1440)</f>
        <v/>
      </c>
      <c r="BC37" s="105" t="str">
        <f>IF(ISBLANK(Term4_Day_8[[#This Row],[Activity]]),"",IF(_xlfn.XLOOKUP(Term4_Day_8[[#This Row],[Activity]],Types_of_Activity[Type of Activity],Types_of_Activity[Classification])=1,Term4_Day_8[[#This Row],[Elapsed]],0))</f>
        <v/>
      </c>
      <c r="BD37" s="105" t="str">
        <f>IF(ISBLANK(Term4_Day_8[[#This Row],[Activity]]),"",IF(_xlfn.XLOOKUP(Term4_Day_8[[#This Row],[Activity]],Types_of_Activity[Type of Activity],Types_of_Activity[Classification])=2,Term4_Day_8[[#This Row],[Elapsed]],0))</f>
        <v/>
      </c>
      <c r="BE37" s="106"/>
      <c r="BF37" s="135"/>
      <c r="BG37" s="135"/>
      <c r="BH37" s="102"/>
      <c r="BI37" s="105" t="str">
        <f>IF(OR(ISBLANK(Term4_Day_9[[#This Row],[Start]]),ISBLANK(Term4_Day_9[[#This Row],[End]])),"",(Term4_Day_9[[#This Row],[End]]-Term4_Day_9[[#This Row],[Start]])*1440)</f>
        <v/>
      </c>
      <c r="BJ37" s="105" t="str">
        <f>IF(ISBLANK(Term4_Day_9[[#This Row],[Activity]]),"",IF(_xlfn.XLOOKUP(Term4_Day_9[[#This Row],[Activity]],Types_of_Activity[Type of Activity],Types_of_Activity[Classification])=1,Term4_Day_9[[#This Row],[Elapsed]],0))</f>
        <v/>
      </c>
      <c r="BK37" s="105" t="str">
        <f>IF(ISBLANK(Term4_Day_9[[#This Row],[Activity]]),"",IF(_xlfn.XLOOKUP(Term4_Day_9[[#This Row],[Activity]],Types_of_Activity[Type of Activity],Types_of_Activity[Classification])=2,Term4_Day_9[[#This Row],[Elapsed]],0))</f>
        <v/>
      </c>
      <c r="BL37" s="106"/>
      <c r="BM37" s="135"/>
      <c r="BN37" s="135"/>
      <c r="BO37" s="102"/>
      <c r="BP37" s="105" t="str">
        <f>IF(OR(ISBLANK(Term4_Day_10[[#This Row],[Start]]),ISBLANK(Term4_Day_10[[#This Row],[End]])),"",(Term4_Day_10[[#This Row],[End]]-Term4_Day_10[[#This Row],[Start]])*1440)</f>
        <v/>
      </c>
      <c r="BQ37" s="105" t="str">
        <f>IF(ISBLANK(Term4_Day_10[[#This Row],[Activity]]),"",IF(_xlfn.XLOOKUP(Term4_Day_10[[#This Row],[Activity]],Types_of_Activity[Type of Activity],Types_of_Activity[Classification])=1,Term4_Day_10[[#This Row],[Elapsed]],0))</f>
        <v/>
      </c>
      <c r="BR37" s="105" t="str">
        <f>IF(ISBLANK(Term4_Day_10[[#This Row],[Activity]]),"",IF(_xlfn.XLOOKUP(Term4_Day_10[[#This Row],[Activity]],Types_of_Activity[Type of Activity],Types_of_Activity[Classification])=2,Term4_Day_10[[#This Row],[Elapsed]],0))</f>
        <v/>
      </c>
      <c r="BS37" s="106"/>
    </row>
    <row r="38" spans="2:71" x14ac:dyDescent="0.3">
      <c r="B38" s="135"/>
      <c r="C38" s="135"/>
      <c r="D38" s="102"/>
      <c r="E38" s="105" t="str">
        <f>IF(OR(ISBLANK(Term4_Day_1[[#This Row],[Start]]),ISBLANK(Term4_Day_1[[#This Row],[End]])),"",(Term4_Day_1[[#This Row],[End]]-Term4_Day_1[[#This Row],[Start]])*1440)</f>
        <v/>
      </c>
      <c r="F38" s="105" t="str">
        <f>IF(ISBLANK(Term4_Day_1[[#This Row],[Activity]]),"",IF(_xlfn.XLOOKUP(Term4_Day_1[[#This Row],[Activity]],Types_of_Activity[Type of Activity],Types_of_Activity[Classification])=1,Term4_Day_1[[#This Row],[Elapsed]],0))</f>
        <v/>
      </c>
      <c r="G38" s="105" t="str">
        <f>IF(ISBLANK(Term4_Day_1[[#This Row],[Activity]]),"",IF(_xlfn.XLOOKUP(Term4_Day_1[[#This Row],[Activity]],Types_of_Activity[Type of Activity],Types_of_Activity[Classification])=2,Term4_Day_1[[#This Row],[Elapsed]],0))</f>
        <v/>
      </c>
      <c r="I38" s="135"/>
      <c r="J38" s="135"/>
      <c r="K38" s="102"/>
      <c r="L38" s="105" t="str">
        <f>IF(OR(ISBLANK(Term4_Day_2[[#This Row],[Start]]),ISBLANK(Term4_Day_2[[#This Row],[End]])),"",(Term4_Day_2[[#This Row],[End]]-Term4_Day_2[[#This Row],[Start]])*1440)</f>
        <v/>
      </c>
      <c r="M38" s="105" t="str">
        <f>IF(ISBLANK(Term4_Day_2[[#This Row],[Activity]]),"",IF(_xlfn.XLOOKUP(Term4_Day_2[[#This Row],[Activity]],Types_of_Activity[Type of Activity],Types_of_Activity[Classification])=1,Term4_Day_2[[#This Row],[Elapsed]],0))</f>
        <v/>
      </c>
      <c r="N38" s="105" t="str">
        <f>IF(ISBLANK(Term4_Day_2[[#This Row],[Activity]]),"",IF(_xlfn.XLOOKUP(Term4_Day_2[[#This Row],[Activity]],Types_of_Activity[Type of Activity],Types_of_Activity[Classification])=2,Term4_Day_2[[#This Row],[Elapsed]],0))</f>
        <v/>
      </c>
      <c r="P38" s="135"/>
      <c r="Q38" s="135"/>
      <c r="R38" s="102"/>
      <c r="S38" s="105" t="str">
        <f>IF(OR(ISBLANK(Term4_Day_3[[#This Row],[Start]]),ISBLANK(Term4_Day_3[[#This Row],[End]])),"",(Term4_Day_3[[#This Row],[End]]-Term4_Day_3[[#This Row],[Start]])*1440)</f>
        <v/>
      </c>
      <c r="T38" s="105" t="str">
        <f>IF(ISBLANK(Term4_Day_3[[#This Row],[Activity]]),"",IF(_xlfn.XLOOKUP(Term4_Day_3[[#This Row],[Activity]],Types_of_Activity[Type of Activity],Types_of_Activity[Classification])=1,Term4_Day_3[[#This Row],[Elapsed]],0))</f>
        <v/>
      </c>
      <c r="U38" s="105" t="str">
        <f>IF(ISBLANK(Term4_Day_3[[#This Row],[Activity]]),"",IF(_xlfn.XLOOKUP(Term4_Day_3[[#This Row],[Activity]],Types_of_Activity[Type of Activity],Types_of_Activity[Classification])=2,Term4_Day_3[[#This Row],[Elapsed]],0))</f>
        <v/>
      </c>
      <c r="W38" s="135"/>
      <c r="X38" s="135"/>
      <c r="Y38" s="102"/>
      <c r="Z38" s="105" t="str">
        <f>IF(OR(ISBLANK(Term4_Day_4[[#This Row],[Start]]),ISBLANK(Term4_Day_4[[#This Row],[End]])),"",(Term4_Day_4[[#This Row],[End]]-Term4_Day_4[[#This Row],[Start]])*1440)</f>
        <v/>
      </c>
      <c r="AA38" s="105" t="str">
        <f>IF(ISBLANK(Term4_Day_4[[#This Row],[Activity]]),"",IF(_xlfn.XLOOKUP(Term4_Day_4[[#This Row],[Activity]],Types_of_Activity[Type of Activity],Types_of_Activity[Classification])=1,Term4_Day_4[[#This Row],[Elapsed]],0))</f>
        <v/>
      </c>
      <c r="AB38" s="105" t="str">
        <f>IF(ISBLANK(Term4_Day_4[[#This Row],[Activity]]),"",IF(_xlfn.XLOOKUP(Term4_Day_4[[#This Row],[Activity]],Types_of_Activity[Type of Activity],Types_of_Activity[Classification])=2,Term4_Day_4[[#This Row],[Elapsed]],0))</f>
        <v/>
      </c>
      <c r="AD38" s="135"/>
      <c r="AE38" s="135"/>
      <c r="AF38" s="102"/>
      <c r="AG38" s="105" t="str">
        <f>IF(OR(ISBLANK(Term4_Day_5[[#This Row],[Start]]),ISBLANK(Term4_Day_5[[#This Row],[End]])),"",(Term4_Day_5[[#This Row],[End]]-Term4_Day_5[[#This Row],[Start]])*1440)</f>
        <v/>
      </c>
      <c r="AH38" s="105" t="str">
        <f>IF(ISBLANK(Term4_Day_5[[#This Row],[Activity]]),"",IF(_xlfn.XLOOKUP(Term4_Day_5[[#This Row],[Activity]],Types_of_Activity[Type of Activity],Types_of_Activity[Classification])=1,Term4_Day_5[[#This Row],[Elapsed]],0))</f>
        <v/>
      </c>
      <c r="AI38" s="105" t="str">
        <f>IF(ISBLANK(Term4_Day_5[[#This Row],[Activity]]),"",IF(_xlfn.XLOOKUP(Term4_Day_5[[#This Row],[Activity]],Types_of_Activity[Type of Activity],Types_of_Activity[Classification])=2,Term4_Day_5[[#This Row],[Elapsed]],0))</f>
        <v/>
      </c>
      <c r="AJ38" s="106"/>
      <c r="AK38" s="135"/>
      <c r="AL38" s="135"/>
      <c r="AM38" s="102"/>
      <c r="AN38" s="105" t="str">
        <f>IF(OR(ISBLANK(Term4_Day_6[[#This Row],[Start]]),ISBLANK(Term4_Day_6[[#This Row],[End]])),"",(Term4_Day_6[[#This Row],[End]]-Term4_Day_6[[#This Row],[Start]])*1440)</f>
        <v/>
      </c>
      <c r="AO38" s="105" t="str">
        <f>IF(ISBLANK(Term4_Day_6[[#This Row],[Activity]]),"",IF(_xlfn.XLOOKUP(Term4_Day_6[[#This Row],[Activity]],Types_of_Activity[Type of Activity],Types_of_Activity[Classification])=1,Term4_Day_6[[#This Row],[Elapsed]],0))</f>
        <v/>
      </c>
      <c r="AP38" s="105" t="str">
        <f>IF(ISBLANK(Term4_Day_6[[#This Row],[Activity]]),"",IF(_xlfn.XLOOKUP(Term4_Day_6[[#This Row],[Activity]],Types_of_Activity[Type of Activity],Types_of_Activity[Classification])=2,Term4_Day_6[[#This Row],[Elapsed]],0))</f>
        <v/>
      </c>
      <c r="AQ38" s="106"/>
      <c r="AR38" s="135"/>
      <c r="AS38" s="135"/>
      <c r="AT38" s="102"/>
      <c r="AU38" s="105" t="str">
        <f>IF(OR(ISBLANK(Term4_Day_7[[#This Row],[Start]]),ISBLANK(Term4_Day_7[[#This Row],[End]])),"",(Term4_Day_7[[#This Row],[End]]-Term4_Day_7[[#This Row],[Start]])*1440)</f>
        <v/>
      </c>
      <c r="AV38" s="105" t="str">
        <f>IF(ISBLANK(Term4_Day_7[[#This Row],[Activity]]),"",IF(_xlfn.XLOOKUP(Term4_Day_7[[#This Row],[Activity]],Types_of_Activity[Type of Activity],Types_of_Activity[Classification])=1,Term4_Day_7[[#This Row],[Elapsed]],0))</f>
        <v/>
      </c>
      <c r="AW38" s="105" t="str">
        <f>IF(ISBLANK(Term4_Day_7[[#This Row],[Activity]]),"",IF(_xlfn.XLOOKUP(Term4_Day_7[[#This Row],[Activity]],Types_of_Activity[Type of Activity],Types_of_Activity[Classification])=2,Term4_Day_7[[#This Row],[Elapsed]],0))</f>
        <v/>
      </c>
      <c r="AX38" s="106"/>
      <c r="AY38" s="135"/>
      <c r="AZ38" s="135"/>
      <c r="BA38" s="102"/>
      <c r="BB38" s="105" t="str">
        <f>IF(OR(ISBLANK(Term4_Day_8[[#This Row],[Start]]),ISBLANK(Term4_Day_8[[#This Row],[End]])),"",(Term4_Day_8[[#This Row],[End]]-Term4_Day_8[[#This Row],[Start]])*1440)</f>
        <v/>
      </c>
      <c r="BC38" s="105" t="str">
        <f>IF(ISBLANK(Term4_Day_8[[#This Row],[Activity]]),"",IF(_xlfn.XLOOKUP(Term4_Day_8[[#This Row],[Activity]],Types_of_Activity[Type of Activity],Types_of_Activity[Classification])=1,Term4_Day_8[[#This Row],[Elapsed]],0))</f>
        <v/>
      </c>
      <c r="BD38" s="105" t="str">
        <f>IF(ISBLANK(Term4_Day_8[[#This Row],[Activity]]),"",IF(_xlfn.XLOOKUP(Term4_Day_8[[#This Row],[Activity]],Types_of_Activity[Type of Activity],Types_of_Activity[Classification])=2,Term4_Day_8[[#This Row],[Elapsed]],0))</f>
        <v/>
      </c>
      <c r="BE38" s="106"/>
      <c r="BF38" s="135"/>
      <c r="BG38" s="135"/>
      <c r="BH38" s="102"/>
      <c r="BI38" s="105" t="str">
        <f>IF(OR(ISBLANK(Term4_Day_9[[#This Row],[Start]]),ISBLANK(Term4_Day_9[[#This Row],[End]])),"",(Term4_Day_9[[#This Row],[End]]-Term4_Day_9[[#This Row],[Start]])*1440)</f>
        <v/>
      </c>
      <c r="BJ38" s="105" t="str">
        <f>IF(ISBLANK(Term4_Day_9[[#This Row],[Activity]]),"",IF(_xlfn.XLOOKUP(Term4_Day_9[[#This Row],[Activity]],Types_of_Activity[Type of Activity],Types_of_Activity[Classification])=1,Term4_Day_9[[#This Row],[Elapsed]],0))</f>
        <v/>
      </c>
      <c r="BK38" s="105" t="str">
        <f>IF(ISBLANK(Term4_Day_9[[#This Row],[Activity]]),"",IF(_xlfn.XLOOKUP(Term4_Day_9[[#This Row],[Activity]],Types_of_Activity[Type of Activity],Types_of_Activity[Classification])=2,Term4_Day_9[[#This Row],[Elapsed]],0))</f>
        <v/>
      </c>
      <c r="BL38" s="106"/>
      <c r="BM38" s="135"/>
      <c r="BN38" s="135"/>
      <c r="BO38" s="102"/>
      <c r="BP38" s="105" t="str">
        <f>IF(OR(ISBLANK(Term4_Day_10[[#This Row],[Start]]),ISBLANK(Term4_Day_10[[#This Row],[End]])),"",(Term4_Day_10[[#This Row],[End]]-Term4_Day_10[[#This Row],[Start]])*1440)</f>
        <v/>
      </c>
      <c r="BQ38" s="105" t="str">
        <f>IF(ISBLANK(Term4_Day_10[[#This Row],[Activity]]),"",IF(_xlfn.XLOOKUP(Term4_Day_10[[#This Row],[Activity]],Types_of_Activity[Type of Activity],Types_of_Activity[Classification])=1,Term4_Day_10[[#This Row],[Elapsed]],0))</f>
        <v/>
      </c>
      <c r="BR38" s="105" t="str">
        <f>IF(ISBLANK(Term4_Day_10[[#This Row],[Activity]]),"",IF(_xlfn.XLOOKUP(Term4_Day_10[[#This Row],[Activity]],Types_of_Activity[Type of Activity],Types_of_Activity[Classification])=2,Term4_Day_10[[#This Row],[Elapsed]],0))</f>
        <v/>
      </c>
      <c r="BS38" s="106"/>
    </row>
    <row r="39" spans="2:71" x14ac:dyDescent="0.3">
      <c r="B39" s="135"/>
      <c r="C39" s="135"/>
      <c r="D39" s="102"/>
      <c r="E39" s="105" t="str">
        <f>IF(OR(ISBLANK(Term4_Day_1[[#This Row],[Start]]),ISBLANK(Term4_Day_1[[#This Row],[End]])),"",(Term4_Day_1[[#This Row],[End]]-Term4_Day_1[[#This Row],[Start]])*1440)</f>
        <v/>
      </c>
      <c r="F39" s="105" t="str">
        <f>IF(ISBLANK(Term4_Day_1[[#This Row],[Activity]]),"",IF(_xlfn.XLOOKUP(Term4_Day_1[[#This Row],[Activity]],Types_of_Activity[Type of Activity],Types_of_Activity[Classification])=1,Term4_Day_1[[#This Row],[Elapsed]],0))</f>
        <v/>
      </c>
      <c r="G39" s="105" t="str">
        <f>IF(ISBLANK(Term4_Day_1[[#This Row],[Activity]]),"",IF(_xlfn.XLOOKUP(Term4_Day_1[[#This Row],[Activity]],Types_of_Activity[Type of Activity],Types_of_Activity[Classification])=2,Term4_Day_1[[#This Row],[Elapsed]],0))</f>
        <v/>
      </c>
      <c r="I39" s="135"/>
      <c r="J39" s="135"/>
      <c r="K39" s="102"/>
      <c r="L39" s="105" t="str">
        <f>IF(OR(ISBLANK(Term4_Day_2[[#This Row],[Start]]),ISBLANK(Term4_Day_2[[#This Row],[End]])),"",(Term4_Day_2[[#This Row],[End]]-Term4_Day_2[[#This Row],[Start]])*1440)</f>
        <v/>
      </c>
      <c r="M39" s="105" t="str">
        <f>IF(ISBLANK(Term4_Day_2[[#This Row],[Activity]]),"",IF(_xlfn.XLOOKUP(Term4_Day_2[[#This Row],[Activity]],Types_of_Activity[Type of Activity],Types_of_Activity[Classification])=1,Term4_Day_2[[#This Row],[Elapsed]],0))</f>
        <v/>
      </c>
      <c r="N39" s="105" t="str">
        <f>IF(ISBLANK(Term4_Day_2[[#This Row],[Activity]]),"",IF(_xlfn.XLOOKUP(Term4_Day_2[[#This Row],[Activity]],Types_of_Activity[Type of Activity],Types_of_Activity[Classification])=2,Term4_Day_2[[#This Row],[Elapsed]],0))</f>
        <v/>
      </c>
      <c r="P39" s="135"/>
      <c r="Q39" s="135"/>
      <c r="R39" s="102"/>
      <c r="S39" s="105" t="str">
        <f>IF(OR(ISBLANK(Term4_Day_3[[#This Row],[Start]]),ISBLANK(Term4_Day_3[[#This Row],[End]])),"",(Term4_Day_3[[#This Row],[End]]-Term4_Day_3[[#This Row],[Start]])*1440)</f>
        <v/>
      </c>
      <c r="T39" s="105" t="str">
        <f>IF(ISBLANK(Term4_Day_3[[#This Row],[Activity]]),"",IF(_xlfn.XLOOKUP(Term4_Day_3[[#This Row],[Activity]],Types_of_Activity[Type of Activity],Types_of_Activity[Classification])=1,Term4_Day_3[[#This Row],[Elapsed]],0))</f>
        <v/>
      </c>
      <c r="U39" s="105" t="str">
        <f>IF(ISBLANK(Term4_Day_3[[#This Row],[Activity]]),"",IF(_xlfn.XLOOKUP(Term4_Day_3[[#This Row],[Activity]],Types_of_Activity[Type of Activity],Types_of_Activity[Classification])=2,Term4_Day_3[[#This Row],[Elapsed]],0))</f>
        <v/>
      </c>
      <c r="W39" s="135"/>
      <c r="X39" s="135"/>
      <c r="Y39" s="102"/>
      <c r="Z39" s="105" t="str">
        <f>IF(OR(ISBLANK(Term4_Day_4[[#This Row],[Start]]),ISBLANK(Term4_Day_4[[#This Row],[End]])),"",(Term4_Day_4[[#This Row],[End]]-Term4_Day_4[[#This Row],[Start]])*1440)</f>
        <v/>
      </c>
      <c r="AA39" s="105" t="str">
        <f>IF(ISBLANK(Term4_Day_4[[#This Row],[Activity]]),"",IF(_xlfn.XLOOKUP(Term4_Day_4[[#This Row],[Activity]],Types_of_Activity[Type of Activity],Types_of_Activity[Classification])=1,Term4_Day_4[[#This Row],[Elapsed]],0))</f>
        <v/>
      </c>
      <c r="AB39" s="105" t="str">
        <f>IF(ISBLANK(Term4_Day_4[[#This Row],[Activity]]),"",IF(_xlfn.XLOOKUP(Term4_Day_4[[#This Row],[Activity]],Types_of_Activity[Type of Activity],Types_of_Activity[Classification])=2,Term4_Day_4[[#This Row],[Elapsed]],0))</f>
        <v/>
      </c>
      <c r="AD39" s="135"/>
      <c r="AE39" s="135"/>
      <c r="AF39" s="102"/>
      <c r="AG39" s="105" t="str">
        <f>IF(OR(ISBLANK(Term4_Day_5[[#This Row],[Start]]),ISBLANK(Term4_Day_5[[#This Row],[End]])),"",(Term4_Day_5[[#This Row],[End]]-Term4_Day_5[[#This Row],[Start]])*1440)</f>
        <v/>
      </c>
      <c r="AH39" s="105" t="str">
        <f>IF(ISBLANK(Term4_Day_5[[#This Row],[Activity]]),"",IF(_xlfn.XLOOKUP(Term4_Day_5[[#This Row],[Activity]],Types_of_Activity[Type of Activity],Types_of_Activity[Classification])=1,Term4_Day_5[[#This Row],[Elapsed]],0))</f>
        <v/>
      </c>
      <c r="AI39" s="105" t="str">
        <f>IF(ISBLANK(Term4_Day_5[[#This Row],[Activity]]),"",IF(_xlfn.XLOOKUP(Term4_Day_5[[#This Row],[Activity]],Types_of_Activity[Type of Activity],Types_of_Activity[Classification])=2,Term4_Day_5[[#This Row],[Elapsed]],0))</f>
        <v/>
      </c>
      <c r="AJ39" s="106"/>
      <c r="AK39" s="135"/>
      <c r="AL39" s="135"/>
      <c r="AM39" s="102"/>
      <c r="AN39" s="105" t="str">
        <f>IF(OR(ISBLANK(Term4_Day_6[[#This Row],[Start]]),ISBLANK(Term4_Day_6[[#This Row],[End]])),"",(Term4_Day_6[[#This Row],[End]]-Term4_Day_6[[#This Row],[Start]])*1440)</f>
        <v/>
      </c>
      <c r="AO39" s="105" t="str">
        <f>IF(ISBLANK(Term4_Day_6[[#This Row],[Activity]]),"",IF(_xlfn.XLOOKUP(Term4_Day_6[[#This Row],[Activity]],Types_of_Activity[Type of Activity],Types_of_Activity[Classification])=1,Term4_Day_6[[#This Row],[Elapsed]],0))</f>
        <v/>
      </c>
      <c r="AP39" s="105" t="str">
        <f>IF(ISBLANK(Term4_Day_6[[#This Row],[Activity]]),"",IF(_xlfn.XLOOKUP(Term4_Day_6[[#This Row],[Activity]],Types_of_Activity[Type of Activity],Types_of_Activity[Classification])=2,Term4_Day_6[[#This Row],[Elapsed]],0))</f>
        <v/>
      </c>
      <c r="AQ39" s="106"/>
      <c r="AR39" s="135"/>
      <c r="AS39" s="135"/>
      <c r="AT39" s="102"/>
      <c r="AU39" s="105" t="str">
        <f>IF(OR(ISBLANK(Term4_Day_7[[#This Row],[Start]]),ISBLANK(Term4_Day_7[[#This Row],[End]])),"",(Term4_Day_7[[#This Row],[End]]-Term4_Day_7[[#This Row],[Start]])*1440)</f>
        <v/>
      </c>
      <c r="AV39" s="105" t="str">
        <f>IF(ISBLANK(Term4_Day_7[[#This Row],[Activity]]),"",IF(_xlfn.XLOOKUP(Term4_Day_7[[#This Row],[Activity]],Types_of_Activity[Type of Activity],Types_of_Activity[Classification])=1,Term4_Day_7[[#This Row],[Elapsed]],0))</f>
        <v/>
      </c>
      <c r="AW39" s="105" t="str">
        <f>IF(ISBLANK(Term4_Day_7[[#This Row],[Activity]]),"",IF(_xlfn.XLOOKUP(Term4_Day_7[[#This Row],[Activity]],Types_of_Activity[Type of Activity],Types_of_Activity[Classification])=2,Term4_Day_7[[#This Row],[Elapsed]],0))</f>
        <v/>
      </c>
      <c r="AX39" s="106"/>
      <c r="AY39" s="135"/>
      <c r="AZ39" s="135"/>
      <c r="BA39" s="102"/>
      <c r="BB39" s="105" t="str">
        <f>IF(OR(ISBLANK(Term4_Day_8[[#This Row],[Start]]),ISBLANK(Term4_Day_8[[#This Row],[End]])),"",(Term4_Day_8[[#This Row],[End]]-Term4_Day_8[[#This Row],[Start]])*1440)</f>
        <v/>
      </c>
      <c r="BC39" s="105" t="str">
        <f>IF(ISBLANK(Term4_Day_8[[#This Row],[Activity]]),"",IF(_xlfn.XLOOKUP(Term4_Day_8[[#This Row],[Activity]],Types_of_Activity[Type of Activity],Types_of_Activity[Classification])=1,Term4_Day_8[[#This Row],[Elapsed]],0))</f>
        <v/>
      </c>
      <c r="BD39" s="105" t="str">
        <f>IF(ISBLANK(Term4_Day_8[[#This Row],[Activity]]),"",IF(_xlfn.XLOOKUP(Term4_Day_8[[#This Row],[Activity]],Types_of_Activity[Type of Activity],Types_of_Activity[Classification])=2,Term4_Day_8[[#This Row],[Elapsed]],0))</f>
        <v/>
      </c>
      <c r="BE39" s="106"/>
      <c r="BF39" s="135"/>
      <c r="BG39" s="135"/>
      <c r="BH39" s="102"/>
      <c r="BI39" s="105" t="str">
        <f>IF(OR(ISBLANK(Term4_Day_9[[#This Row],[Start]]),ISBLANK(Term4_Day_9[[#This Row],[End]])),"",(Term4_Day_9[[#This Row],[End]]-Term4_Day_9[[#This Row],[Start]])*1440)</f>
        <v/>
      </c>
      <c r="BJ39" s="105" t="str">
        <f>IF(ISBLANK(Term4_Day_9[[#This Row],[Activity]]),"",IF(_xlfn.XLOOKUP(Term4_Day_9[[#This Row],[Activity]],Types_of_Activity[Type of Activity],Types_of_Activity[Classification])=1,Term4_Day_9[[#This Row],[Elapsed]],0))</f>
        <v/>
      </c>
      <c r="BK39" s="105" t="str">
        <f>IF(ISBLANK(Term4_Day_9[[#This Row],[Activity]]),"",IF(_xlfn.XLOOKUP(Term4_Day_9[[#This Row],[Activity]],Types_of_Activity[Type of Activity],Types_of_Activity[Classification])=2,Term4_Day_9[[#This Row],[Elapsed]],0))</f>
        <v/>
      </c>
      <c r="BL39" s="106"/>
      <c r="BM39" s="135"/>
      <c r="BN39" s="135"/>
      <c r="BO39" s="102"/>
      <c r="BP39" s="105" t="str">
        <f>IF(OR(ISBLANK(Term4_Day_10[[#This Row],[Start]]),ISBLANK(Term4_Day_10[[#This Row],[End]])),"",(Term4_Day_10[[#This Row],[End]]-Term4_Day_10[[#This Row],[Start]])*1440)</f>
        <v/>
      </c>
      <c r="BQ39" s="105" t="str">
        <f>IF(ISBLANK(Term4_Day_10[[#This Row],[Activity]]),"",IF(_xlfn.XLOOKUP(Term4_Day_10[[#This Row],[Activity]],Types_of_Activity[Type of Activity],Types_of_Activity[Classification])=1,Term4_Day_10[[#This Row],[Elapsed]],0))</f>
        <v/>
      </c>
      <c r="BR39" s="105" t="str">
        <f>IF(ISBLANK(Term4_Day_10[[#This Row],[Activity]]),"",IF(_xlfn.XLOOKUP(Term4_Day_10[[#This Row],[Activity]],Types_of_Activity[Type of Activity],Types_of_Activity[Classification])=2,Term4_Day_10[[#This Row],[Elapsed]],0))</f>
        <v/>
      </c>
      <c r="BS39" s="106"/>
    </row>
    <row r="40" spans="2:71" x14ac:dyDescent="0.3">
      <c r="B40" s="135"/>
      <c r="C40" s="135"/>
      <c r="D40" s="102"/>
      <c r="E40" s="105" t="str">
        <f>IF(OR(ISBLANK(Term4_Day_1[[#This Row],[Start]]),ISBLANK(Term4_Day_1[[#This Row],[End]])),"",(Term4_Day_1[[#This Row],[End]]-Term4_Day_1[[#This Row],[Start]])*1440)</f>
        <v/>
      </c>
      <c r="F40" s="105" t="str">
        <f>IF(ISBLANK(Term4_Day_1[[#This Row],[Activity]]),"",IF(_xlfn.XLOOKUP(Term4_Day_1[[#This Row],[Activity]],Types_of_Activity[Type of Activity],Types_of_Activity[Classification])=1,Term4_Day_1[[#This Row],[Elapsed]],0))</f>
        <v/>
      </c>
      <c r="G40" s="105" t="str">
        <f>IF(ISBLANK(Term4_Day_1[[#This Row],[Activity]]),"",IF(_xlfn.XLOOKUP(Term4_Day_1[[#This Row],[Activity]],Types_of_Activity[Type of Activity],Types_of_Activity[Classification])=2,Term4_Day_1[[#This Row],[Elapsed]],0))</f>
        <v/>
      </c>
      <c r="I40" s="135"/>
      <c r="J40" s="135"/>
      <c r="K40" s="102"/>
      <c r="L40" s="105" t="str">
        <f>IF(OR(ISBLANK(Term4_Day_2[[#This Row],[Start]]),ISBLANK(Term4_Day_2[[#This Row],[End]])),"",(Term4_Day_2[[#This Row],[End]]-Term4_Day_2[[#This Row],[Start]])*1440)</f>
        <v/>
      </c>
      <c r="M40" s="105" t="str">
        <f>IF(ISBLANK(Term4_Day_2[[#This Row],[Activity]]),"",IF(_xlfn.XLOOKUP(Term4_Day_2[[#This Row],[Activity]],Types_of_Activity[Type of Activity],Types_of_Activity[Classification])=1,Term4_Day_2[[#This Row],[Elapsed]],0))</f>
        <v/>
      </c>
      <c r="N40" s="105" t="str">
        <f>IF(ISBLANK(Term4_Day_2[[#This Row],[Activity]]),"",IF(_xlfn.XLOOKUP(Term4_Day_2[[#This Row],[Activity]],Types_of_Activity[Type of Activity],Types_of_Activity[Classification])=2,Term4_Day_2[[#This Row],[Elapsed]],0))</f>
        <v/>
      </c>
      <c r="P40" s="135"/>
      <c r="Q40" s="135"/>
      <c r="R40" s="102"/>
      <c r="S40" s="105" t="str">
        <f>IF(OR(ISBLANK(Term4_Day_3[[#This Row],[Start]]),ISBLANK(Term4_Day_3[[#This Row],[End]])),"",(Term4_Day_3[[#This Row],[End]]-Term4_Day_3[[#This Row],[Start]])*1440)</f>
        <v/>
      </c>
      <c r="T40" s="105" t="str">
        <f>IF(ISBLANK(Term4_Day_3[[#This Row],[Activity]]),"",IF(_xlfn.XLOOKUP(Term4_Day_3[[#This Row],[Activity]],Types_of_Activity[Type of Activity],Types_of_Activity[Classification])=1,Term4_Day_3[[#This Row],[Elapsed]],0))</f>
        <v/>
      </c>
      <c r="U40" s="105" t="str">
        <f>IF(ISBLANK(Term4_Day_3[[#This Row],[Activity]]),"",IF(_xlfn.XLOOKUP(Term4_Day_3[[#This Row],[Activity]],Types_of_Activity[Type of Activity],Types_of_Activity[Classification])=2,Term4_Day_3[[#This Row],[Elapsed]],0))</f>
        <v/>
      </c>
      <c r="W40" s="135"/>
      <c r="X40" s="135"/>
      <c r="Y40" s="102"/>
      <c r="Z40" s="105" t="str">
        <f>IF(OR(ISBLANK(Term4_Day_4[[#This Row],[Start]]),ISBLANK(Term4_Day_4[[#This Row],[End]])),"",(Term4_Day_4[[#This Row],[End]]-Term4_Day_4[[#This Row],[Start]])*1440)</f>
        <v/>
      </c>
      <c r="AA40" s="105" t="str">
        <f>IF(ISBLANK(Term4_Day_4[[#This Row],[Activity]]),"",IF(_xlfn.XLOOKUP(Term4_Day_4[[#This Row],[Activity]],Types_of_Activity[Type of Activity],Types_of_Activity[Classification])=1,Term4_Day_4[[#This Row],[Elapsed]],0))</f>
        <v/>
      </c>
      <c r="AB40" s="105" t="str">
        <f>IF(ISBLANK(Term4_Day_4[[#This Row],[Activity]]),"",IF(_xlfn.XLOOKUP(Term4_Day_4[[#This Row],[Activity]],Types_of_Activity[Type of Activity],Types_of_Activity[Classification])=2,Term4_Day_4[[#This Row],[Elapsed]],0))</f>
        <v/>
      </c>
      <c r="AD40" s="135"/>
      <c r="AE40" s="135"/>
      <c r="AF40" s="102"/>
      <c r="AG40" s="105" t="str">
        <f>IF(OR(ISBLANK(Term4_Day_5[[#This Row],[Start]]),ISBLANK(Term4_Day_5[[#This Row],[End]])),"",(Term4_Day_5[[#This Row],[End]]-Term4_Day_5[[#This Row],[Start]])*1440)</f>
        <v/>
      </c>
      <c r="AH40" s="105" t="str">
        <f>IF(ISBLANK(Term4_Day_5[[#This Row],[Activity]]),"",IF(_xlfn.XLOOKUP(Term4_Day_5[[#This Row],[Activity]],Types_of_Activity[Type of Activity],Types_of_Activity[Classification])=1,Term4_Day_5[[#This Row],[Elapsed]],0))</f>
        <v/>
      </c>
      <c r="AI40" s="105" t="str">
        <f>IF(ISBLANK(Term4_Day_5[[#This Row],[Activity]]),"",IF(_xlfn.XLOOKUP(Term4_Day_5[[#This Row],[Activity]],Types_of_Activity[Type of Activity],Types_of_Activity[Classification])=2,Term4_Day_5[[#This Row],[Elapsed]],0))</f>
        <v/>
      </c>
      <c r="AJ40" s="106"/>
      <c r="AK40" s="135"/>
      <c r="AL40" s="135"/>
      <c r="AM40" s="102"/>
      <c r="AN40" s="105" t="str">
        <f>IF(OR(ISBLANK(Term4_Day_6[[#This Row],[Start]]),ISBLANK(Term4_Day_6[[#This Row],[End]])),"",(Term4_Day_6[[#This Row],[End]]-Term4_Day_6[[#This Row],[Start]])*1440)</f>
        <v/>
      </c>
      <c r="AO40" s="105" t="str">
        <f>IF(ISBLANK(Term4_Day_6[[#This Row],[Activity]]),"",IF(_xlfn.XLOOKUP(Term4_Day_6[[#This Row],[Activity]],Types_of_Activity[Type of Activity],Types_of_Activity[Classification])=1,Term4_Day_6[[#This Row],[Elapsed]],0))</f>
        <v/>
      </c>
      <c r="AP40" s="105" t="str">
        <f>IF(ISBLANK(Term4_Day_6[[#This Row],[Activity]]),"",IF(_xlfn.XLOOKUP(Term4_Day_6[[#This Row],[Activity]],Types_of_Activity[Type of Activity],Types_of_Activity[Classification])=2,Term4_Day_6[[#This Row],[Elapsed]],0))</f>
        <v/>
      </c>
      <c r="AQ40" s="106"/>
      <c r="AR40" s="135"/>
      <c r="AS40" s="135"/>
      <c r="AT40" s="102"/>
      <c r="AU40" s="105" t="str">
        <f>IF(OR(ISBLANK(Term4_Day_7[[#This Row],[Start]]),ISBLANK(Term4_Day_7[[#This Row],[End]])),"",(Term4_Day_7[[#This Row],[End]]-Term4_Day_7[[#This Row],[Start]])*1440)</f>
        <v/>
      </c>
      <c r="AV40" s="105" t="str">
        <f>IF(ISBLANK(Term4_Day_7[[#This Row],[Activity]]),"",IF(_xlfn.XLOOKUP(Term4_Day_7[[#This Row],[Activity]],Types_of_Activity[Type of Activity],Types_of_Activity[Classification])=1,Term4_Day_7[[#This Row],[Elapsed]],0))</f>
        <v/>
      </c>
      <c r="AW40" s="105" t="str">
        <f>IF(ISBLANK(Term4_Day_7[[#This Row],[Activity]]),"",IF(_xlfn.XLOOKUP(Term4_Day_7[[#This Row],[Activity]],Types_of_Activity[Type of Activity],Types_of_Activity[Classification])=2,Term4_Day_7[[#This Row],[Elapsed]],0))</f>
        <v/>
      </c>
      <c r="AX40" s="106"/>
      <c r="AY40" s="135"/>
      <c r="AZ40" s="135"/>
      <c r="BA40" s="102"/>
      <c r="BB40" s="105" t="str">
        <f>IF(OR(ISBLANK(Term4_Day_8[[#This Row],[Start]]),ISBLANK(Term4_Day_8[[#This Row],[End]])),"",(Term4_Day_8[[#This Row],[End]]-Term4_Day_8[[#This Row],[Start]])*1440)</f>
        <v/>
      </c>
      <c r="BC40" s="105" t="str">
        <f>IF(ISBLANK(Term4_Day_8[[#This Row],[Activity]]),"",IF(_xlfn.XLOOKUP(Term4_Day_8[[#This Row],[Activity]],Types_of_Activity[Type of Activity],Types_of_Activity[Classification])=1,Term4_Day_8[[#This Row],[Elapsed]],0))</f>
        <v/>
      </c>
      <c r="BD40" s="105" t="str">
        <f>IF(ISBLANK(Term4_Day_8[[#This Row],[Activity]]),"",IF(_xlfn.XLOOKUP(Term4_Day_8[[#This Row],[Activity]],Types_of_Activity[Type of Activity],Types_of_Activity[Classification])=2,Term4_Day_8[[#This Row],[Elapsed]],0))</f>
        <v/>
      </c>
      <c r="BE40" s="106"/>
      <c r="BF40" s="135"/>
      <c r="BG40" s="135"/>
      <c r="BH40" s="102"/>
      <c r="BI40" s="105" t="str">
        <f>IF(OR(ISBLANK(Term4_Day_9[[#This Row],[Start]]),ISBLANK(Term4_Day_9[[#This Row],[End]])),"",(Term4_Day_9[[#This Row],[End]]-Term4_Day_9[[#This Row],[Start]])*1440)</f>
        <v/>
      </c>
      <c r="BJ40" s="105" t="str">
        <f>IF(ISBLANK(Term4_Day_9[[#This Row],[Activity]]),"",IF(_xlfn.XLOOKUP(Term4_Day_9[[#This Row],[Activity]],Types_of_Activity[Type of Activity],Types_of_Activity[Classification])=1,Term4_Day_9[[#This Row],[Elapsed]],0))</f>
        <v/>
      </c>
      <c r="BK40" s="105" t="str">
        <f>IF(ISBLANK(Term4_Day_9[[#This Row],[Activity]]),"",IF(_xlfn.XLOOKUP(Term4_Day_9[[#This Row],[Activity]],Types_of_Activity[Type of Activity],Types_of_Activity[Classification])=2,Term4_Day_9[[#This Row],[Elapsed]],0))</f>
        <v/>
      </c>
      <c r="BL40" s="106"/>
      <c r="BM40" s="135"/>
      <c r="BN40" s="135"/>
      <c r="BO40" s="102"/>
      <c r="BP40" s="105" t="str">
        <f>IF(OR(ISBLANK(Term4_Day_10[[#This Row],[Start]]),ISBLANK(Term4_Day_10[[#This Row],[End]])),"",(Term4_Day_10[[#This Row],[End]]-Term4_Day_10[[#This Row],[Start]])*1440)</f>
        <v/>
      </c>
      <c r="BQ40" s="105" t="str">
        <f>IF(ISBLANK(Term4_Day_10[[#This Row],[Activity]]),"",IF(_xlfn.XLOOKUP(Term4_Day_10[[#This Row],[Activity]],Types_of_Activity[Type of Activity],Types_of_Activity[Classification])=1,Term4_Day_10[[#This Row],[Elapsed]],0))</f>
        <v/>
      </c>
      <c r="BR40" s="105" t="str">
        <f>IF(ISBLANK(Term4_Day_10[[#This Row],[Activity]]),"",IF(_xlfn.XLOOKUP(Term4_Day_10[[#This Row],[Activity]],Types_of_Activity[Type of Activity],Types_of_Activity[Classification])=2,Term4_Day_10[[#This Row],[Elapsed]],0))</f>
        <v/>
      </c>
      <c r="BS40" s="106"/>
    </row>
    <row r="41" spans="2:71" x14ac:dyDescent="0.3">
      <c r="B41" s="135"/>
      <c r="C41" s="135"/>
      <c r="D41" s="102"/>
      <c r="E41" s="105" t="str">
        <f>IF(OR(ISBLANK(Term4_Day_1[[#This Row],[Start]]),ISBLANK(Term4_Day_1[[#This Row],[End]])),"",(Term4_Day_1[[#This Row],[End]]-Term4_Day_1[[#This Row],[Start]])*1440)</f>
        <v/>
      </c>
      <c r="F41" s="105" t="str">
        <f>IF(ISBLANK(Term4_Day_1[[#This Row],[Activity]]),"",IF(_xlfn.XLOOKUP(Term4_Day_1[[#This Row],[Activity]],Types_of_Activity[Type of Activity],Types_of_Activity[Classification])=1,Term4_Day_1[[#This Row],[Elapsed]],0))</f>
        <v/>
      </c>
      <c r="G41" s="105" t="str">
        <f>IF(ISBLANK(Term4_Day_1[[#This Row],[Activity]]),"",IF(_xlfn.XLOOKUP(Term4_Day_1[[#This Row],[Activity]],Types_of_Activity[Type of Activity],Types_of_Activity[Classification])=2,Term4_Day_1[[#This Row],[Elapsed]],0))</f>
        <v/>
      </c>
      <c r="I41" s="135"/>
      <c r="J41" s="135"/>
      <c r="K41" s="102"/>
      <c r="L41" s="105" t="str">
        <f>IF(OR(ISBLANK(Term4_Day_2[[#This Row],[Start]]),ISBLANK(Term4_Day_2[[#This Row],[End]])),"",(Term4_Day_2[[#This Row],[End]]-Term4_Day_2[[#This Row],[Start]])*1440)</f>
        <v/>
      </c>
      <c r="M41" s="105" t="str">
        <f>IF(ISBLANK(Term4_Day_2[[#This Row],[Activity]]),"",IF(_xlfn.XLOOKUP(Term4_Day_2[[#This Row],[Activity]],Types_of_Activity[Type of Activity],Types_of_Activity[Classification])=1,Term4_Day_2[[#This Row],[Elapsed]],0))</f>
        <v/>
      </c>
      <c r="N41" s="105" t="str">
        <f>IF(ISBLANK(Term4_Day_2[[#This Row],[Activity]]),"",IF(_xlfn.XLOOKUP(Term4_Day_2[[#This Row],[Activity]],Types_of_Activity[Type of Activity],Types_of_Activity[Classification])=2,Term4_Day_2[[#This Row],[Elapsed]],0))</f>
        <v/>
      </c>
      <c r="P41" s="135"/>
      <c r="Q41" s="135"/>
      <c r="R41" s="102"/>
      <c r="S41" s="105" t="str">
        <f>IF(OR(ISBLANK(Term4_Day_3[[#This Row],[Start]]),ISBLANK(Term4_Day_3[[#This Row],[End]])),"",(Term4_Day_3[[#This Row],[End]]-Term4_Day_3[[#This Row],[Start]])*1440)</f>
        <v/>
      </c>
      <c r="T41" s="105" t="str">
        <f>IF(ISBLANK(Term4_Day_3[[#This Row],[Activity]]),"",IF(_xlfn.XLOOKUP(Term4_Day_3[[#This Row],[Activity]],Types_of_Activity[Type of Activity],Types_of_Activity[Classification])=1,Term4_Day_3[[#This Row],[Elapsed]],0))</f>
        <v/>
      </c>
      <c r="U41" s="105" t="str">
        <f>IF(ISBLANK(Term4_Day_3[[#This Row],[Activity]]),"",IF(_xlfn.XLOOKUP(Term4_Day_3[[#This Row],[Activity]],Types_of_Activity[Type of Activity],Types_of_Activity[Classification])=2,Term4_Day_3[[#This Row],[Elapsed]],0))</f>
        <v/>
      </c>
      <c r="W41" s="135"/>
      <c r="X41" s="135"/>
      <c r="Y41" s="102"/>
      <c r="Z41" s="105" t="str">
        <f>IF(OR(ISBLANK(Term4_Day_4[[#This Row],[Start]]),ISBLANK(Term4_Day_4[[#This Row],[End]])),"",(Term4_Day_4[[#This Row],[End]]-Term4_Day_4[[#This Row],[Start]])*1440)</f>
        <v/>
      </c>
      <c r="AA41" s="105" t="str">
        <f>IF(ISBLANK(Term4_Day_4[[#This Row],[Activity]]),"",IF(_xlfn.XLOOKUP(Term4_Day_4[[#This Row],[Activity]],Types_of_Activity[Type of Activity],Types_of_Activity[Classification])=1,Term4_Day_4[[#This Row],[Elapsed]],0))</f>
        <v/>
      </c>
      <c r="AB41" s="105" t="str">
        <f>IF(ISBLANK(Term4_Day_4[[#This Row],[Activity]]),"",IF(_xlfn.XLOOKUP(Term4_Day_4[[#This Row],[Activity]],Types_of_Activity[Type of Activity],Types_of_Activity[Classification])=2,Term4_Day_4[[#This Row],[Elapsed]],0))</f>
        <v/>
      </c>
      <c r="AD41" s="135"/>
      <c r="AE41" s="135"/>
      <c r="AF41" s="102"/>
      <c r="AG41" s="105" t="str">
        <f>IF(OR(ISBLANK(Term4_Day_5[[#This Row],[Start]]),ISBLANK(Term4_Day_5[[#This Row],[End]])),"",(Term4_Day_5[[#This Row],[End]]-Term4_Day_5[[#This Row],[Start]])*1440)</f>
        <v/>
      </c>
      <c r="AH41" s="105" t="str">
        <f>IF(ISBLANK(Term4_Day_5[[#This Row],[Activity]]),"",IF(_xlfn.XLOOKUP(Term4_Day_5[[#This Row],[Activity]],Types_of_Activity[Type of Activity],Types_of_Activity[Classification])=1,Term4_Day_5[[#This Row],[Elapsed]],0))</f>
        <v/>
      </c>
      <c r="AI41" s="105" t="str">
        <f>IF(ISBLANK(Term4_Day_5[[#This Row],[Activity]]),"",IF(_xlfn.XLOOKUP(Term4_Day_5[[#This Row],[Activity]],Types_of_Activity[Type of Activity],Types_of_Activity[Classification])=2,Term4_Day_5[[#This Row],[Elapsed]],0))</f>
        <v/>
      </c>
      <c r="AJ41" s="106"/>
      <c r="AK41" s="135"/>
      <c r="AL41" s="135"/>
      <c r="AM41" s="102"/>
      <c r="AN41" s="105" t="str">
        <f>IF(OR(ISBLANK(Term4_Day_6[[#This Row],[Start]]),ISBLANK(Term4_Day_6[[#This Row],[End]])),"",(Term4_Day_6[[#This Row],[End]]-Term4_Day_6[[#This Row],[Start]])*1440)</f>
        <v/>
      </c>
      <c r="AO41" s="105" t="str">
        <f>IF(ISBLANK(Term4_Day_6[[#This Row],[Activity]]),"",IF(_xlfn.XLOOKUP(Term4_Day_6[[#This Row],[Activity]],Types_of_Activity[Type of Activity],Types_of_Activity[Classification])=1,Term4_Day_6[[#This Row],[Elapsed]],0))</f>
        <v/>
      </c>
      <c r="AP41" s="105" t="str">
        <f>IF(ISBLANK(Term4_Day_6[[#This Row],[Activity]]),"",IF(_xlfn.XLOOKUP(Term4_Day_6[[#This Row],[Activity]],Types_of_Activity[Type of Activity],Types_of_Activity[Classification])=2,Term4_Day_6[[#This Row],[Elapsed]],0))</f>
        <v/>
      </c>
      <c r="AQ41" s="106"/>
      <c r="AR41" s="135"/>
      <c r="AS41" s="135"/>
      <c r="AT41" s="102"/>
      <c r="AU41" s="105" t="str">
        <f>IF(OR(ISBLANK(Term4_Day_7[[#This Row],[Start]]),ISBLANK(Term4_Day_7[[#This Row],[End]])),"",(Term4_Day_7[[#This Row],[End]]-Term4_Day_7[[#This Row],[Start]])*1440)</f>
        <v/>
      </c>
      <c r="AV41" s="105" t="str">
        <f>IF(ISBLANK(Term4_Day_7[[#This Row],[Activity]]),"",IF(_xlfn.XLOOKUP(Term4_Day_7[[#This Row],[Activity]],Types_of_Activity[Type of Activity],Types_of_Activity[Classification])=1,Term4_Day_7[[#This Row],[Elapsed]],0))</f>
        <v/>
      </c>
      <c r="AW41" s="105" t="str">
        <f>IF(ISBLANK(Term4_Day_7[[#This Row],[Activity]]),"",IF(_xlfn.XLOOKUP(Term4_Day_7[[#This Row],[Activity]],Types_of_Activity[Type of Activity],Types_of_Activity[Classification])=2,Term4_Day_7[[#This Row],[Elapsed]],0))</f>
        <v/>
      </c>
      <c r="AX41" s="106"/>
      <c r="AY41" s="135"/>
      <c r="AZ41" s="135"/>
      <c r="BA41" s="102"/>
      <c r="BB41" s="105" t="str">
        <f>IF(OR(ISBLANK(Term4_Day_8[[#This Row],[Start]]),ISBLANK(Term4_Day_8[[#This Row],[End]])),"",(Term4_Day_8[[#This Row],[End]]-Term4_Day_8[[#This Row],[Start]])*1440)</f>
        <v/>
      </c>
      <c r="BC41" s="105" t="str">
        <f>IF(ISBLANK(Term4_Day_8[[#This Row],[Activity]]),"",IF(_xlfn.XLOOKUP(Term4_Day_8[[#This Row],[Activity]],Types_of_Activity[Type of Activity],Types_of_Activity[Classification])=1,Term4_Day_8[[#This Row],[Elapsed]],0))</f>
        <v/>
      </c>
      <c r="BD41" s="105" t="str">
        <f>IF(ISBLANK(Term4_Day_8[[#This Row],[Activity]]),"",IF(_xlfn.XLOOKUP(Term4_Day_8[[#This Row],[Activity]],Types_of_Activity[Type of Activity],Types_of_Activity[Classification])=2,Term4_Day_8[[#This Row],[Elapsed]],0))</f>
        <v/>
      </c>
      <c r="BE41" s="106"/>
      <c r="BF41" s="135"/>
      <c r="BG41" s="135"/>
      <c r="BH41" s="102"/>
      <c r="BI41" s="105" t="str">
        <f>IF(OR(ISBLANK(Term4_Day_9[[#This Row],[Start]]),ISBLANK(Term4_Day_9[[#This Row],[End]])),"",(Term4_Day_9[[#This Row],[End]]-Term4_Day_9[[#This Row],[Start]])*1440)</f>
        <v/>
      </c>
      <c r="BJ41" s="105" t="str">
        <f>IF(ISBLANK(Term4_Day_9[[#This Row],[Activity]]),"",IF(_xlfn.XLOOKUP(Term4_Day_9[[#This Row],[Activity]],Types_of_Activity[Type of Activity],Types_of_Activity[Classification])=1,Term4_Day_9[[#This Row],[Elapsed]],0))</f>
        <v/>
      </c>
      <c r="BK41" s="105" t="str">
        <f>IF(ISBLANK(Term4_Day_9[[#This Row],[Activity]]),"",IF(_xlfn.XLOOKUP(Term4_Day_9[[#This Row],[Activity]],Types_of_Activity[Type of Activity],Types_of_Activity[Classification])=2,Term4_Day_9[[#This Row],[Elapsed]],0))</f>
        <v/>
      </c>
      <c r="BL41" s="106"/>
      <c r="BM41" s="135"/>
      <c r="BN41" s="135"/>
      <c r="BO41" s="102"/>
      <c r="BP41" s="105" t="str">
        <f>IF(OR(ISBLANK(Term4_Day_10[[#This Row],[Start]]),ISBLANK(Term4_Day_10[[#This Row],[End]])),"",(Term4_Day_10[[#This Row],[End]]-Term4_Day_10[[#This Row],[Start]])*1440)</f>
        <v/>
      </c>
      <c r="BQ41" s="105" t="str">
        <f>IF(ISBLANK(Term4_Day_10[[#This Row],[Activity]]),"",IF(_xlfn.XLOOKUP(Term4_Day_10[[#This Row],[Activity]],Types_of_Activity[Type of Activity],Types_of_Activity[Classification])=1,Term4_Day_10[[#This Row],[Elapsed]],0))</f>
        <v/>
      </c>
      <c r="BR41" s="105" t="str">
        <f>IF(ISBLANK(Term4_Day_10[[#This Row],[Activity]]),"",IF(_xlfn.XLOOKUP(Term4_Day_10[[#This Row],[Activity]],Types_of_Activity[Type of Activity],Types_of_Activity[Classification])=2,Term4_Day_10[[#This Row],[Elapsed]],0))</f>
        <v/>
      </c>
      <c r="BS41" s="106"/>
    </row>
    <row r="42" spans="2:71" x14ac:dyDescent="0.3">
      <c r="B42" s="135"/>
      <c r="C42" s="135"/>
      <c r="D42" s="102"/>
      <c r="E42" s="105" t="str">
        <f>IF(OR(ISBLANK(Term4_Day_1[[#This Row],[Start]]),ISBLANK(Term4_Day_1[[#This Row],[End]])),"",(Term4_Day_1[[#This Row],[End]]-Term4_Day_1[[#This Row],[Start]])*1440)</f>
        <v/>
      </c>
      <c r="F42" s="105" t="str">
        <f>IF(ISBLANK(Term4_Day_1[[#This Row],[Activity]]),"",IF(_xlfn.XLOOKUP(Term4_Day_1[[#This Row],[Activity]],Types_of_Activity[Type of Activity],Types_of_Activity[Classification])=1,Term4_Day_1[[#This Row],[Elapsed]],0))</f>
        <v/>
      </c>
      <c r="G42" s="105" t="str">
        <f>IF(ISBLANK(Term4_Day_1[[#This Row],[Activity]]),"",IF(_xlfn.XLOOKUP(Term4_Day_1[[#This Row],[Activity]],Types_of_Activity[Type of Activity],Types_of_Activity[Classification])=2,Term4_Day_1[[#This Row],[Elapsed]],0))</f>
        <v/>
      </c>
      <c r="I42" s="135"/>
      <c r="J42" s="135"/>
      <c r="K42" s="102"/>
      <c r="L42" s="105" t="str">
        <f>IF(OR(ISBLANK(Term4_Day_2[[#This Row],[Start]]),ISBLANK(Term4_Day_2[[#This Row],[End]])),"",(Term4_Day_2[[#This Row],[End]]-Term4_Day_2[[#This Row],[Start]])*1440)</f>
        <v/>
      </c>
      <c r="M42" s="105" t="str">
        <f>IF(ISBLANK(Term4_Day_2[[#This Row],[Activity]]),"",IF(_xlfn.XLOOKUP(Term4_Day_2[[#This Row],[Activity]],Types_of_Activity[Type of Activity],Types_of_Activity[Classification])=1,Term4_Day_2[[#This Row],[Elapsed]],0))</f>
        <v/>
      </c>
      <c r="N42" s="105" t="str">
        <f>IF(ISBLANK(Term4_Day_2[[#This Row],[Activity]]),"",IF(_xlfn.XLOOKUP(Term4_Day_2[[#This Row],[Activity]],Types_of_Activity[Type of Activity],Types_of_Activity[Classification])=2,Term4_Day_2[[#This Row],[Elapsed]],0))</f>
        <v/>
      </c>
      <c r="P42" s="135"/>
      <c r="Q42" s="135"/>
      <c r="R42" s="102"/>
      <c r="S42" s="105" t="str">
        <f>IF(OR(ISBLANK(Term4_Day_3[[#This Row],[Start]]),ISBLANK(Term4_Day_3[[#This Row],[End]])),"",(Term4_Day_3[[#This Row],[End]]-Term4_Day_3[[#This Row],[Start]])*1440)</f>
        <v/>
      </c>
      <c r="T42" s="105" t="str">
        <f>IF(ISBLANK(Term4_Day_3[[#This Row],[Activity]]),"",IF(_xlfn.XLOOKUP(Term4_Day_3[[#This Row],[Activity]],Types_of_Activity[Type of Activity],Types_of_Activity[Classification])=1,Term4_Day_3[[#This Row],[Elapsed]],0))</f>
        <v/>
      </c>
      <c r="U42" s="105" t="str">
        <f>IF(ISBLANK(Term4_Day_3[[#This Row],[Activity]]),"",IF(_xlfn.XLOOKUP(Term4_Day_3[[#This Row],[Activity]],Types_of_Activity[Type of Activity],Types_of_Activity[Classification])=2,Term4_Day_3[[#This Row],[Elapsed]],0))</f>
        <v/>
      </c>
      <c r="W42" s="135"/>
      <c r="X42" s="135"/>
      <c r="Y42" s="102"/>
      <c r="Z42" s="105" t="str">
        <f>IF(OR(ISBLANK(Term4_Day_4[[#This Row],[Start]]),ISBLANK(Term4_Day_4[[#This Row],[End]])),"",(Term4_Day_4[[#This Row],[End]]-Term4_Day_4[[#This Row],[Start]])*1440)</f>
        <v/>
      </c>
      <c r="AA42" s="105" t="str">
        <f>IF(ISBLANK(Term4_Day_4[[#This Row],[Activity]]),"",IF(_xlfn.XLOOKUP(Term4_Day_4[[#This Row],[Activity]],Types_of_Activity[Type of Activity],Types_of_Activity[Classification])=1,Term4_Day_4[[#This Row],[Elapsed]],0))</f>
        <v/>
      </c>
      <c r="AB42" s="105" t="str">
        <f>IF(ISBLANK(Term4_Day_4[[#This Row],[Activity]]),"",IF(_xlfn.XLOOKUP(Term4_Day_4[[#This Row],[Activity]],Types_of_Activity[Type of Activity],Types_of_Activity[Classification])=2,Term4_Day_4[[#This Row],[Elapsed]],0))</f>
        <v/>
      </c>
      <c r="AD42" s="135"/>
      <c r="AE42" s="135"/>
      <c r="AF42" s="102"/>
      <c r="AG42" s="105" t="str">
        <f>IF(OR(ISBLANK(Term4_Day_5[[#This Row],[Start]]),ISBLANK(Term4_Day_5[[#This Row],[End]])),"",(Term4_Day_5[[#This Row],[End]]-Term4_Day_5[[#This Row],[Start]])*1440)</f>
        <v/>
      </c>
      <c r="AH42" s="105" t="str">
        <f>IF(ISBLANK(Term4_Day_5[[#This Row],[Activity]]),"",IF(_xlfn.XLOOKUP(Term4_Day_5[[#This Row],[Activity]],Types_of_Activity[Type of Activity],Types_of_Activity[Classification])=1,Term4_Day_5[[#This Row],[Elapsed]],0))</f>
        <v/>
      </c>
      <c r="AI42" s="105" t="str">
        <f>IF(ISBLANK(Term4_Day_5[[#This Row],[Activity]]),"",IF(_xlfn.XLOOKUP(Term4_Day_5[[#This Row],[Activity]],Types_of_Activity[Type of Activity],Types_of_Activity[Classification])=2,Term4_Day_5[[#This Row],[Elapsed]],0))</f>
        <v/>
      </c>
      <c r="AJ42" s="106"/>
      <c r="AK42" s="135"/>
      <c r="AL42" s="135"/>
      <c r="AM42" s="102"/>
      <c r="AN42" s="105" t="str">
        <f>IF(OR(ISBLANK(Term4_Day_6[[#This Row],[Start]]),ISBLANK(Term4_Day_6[[#This Row],[End]])),"",(Term4_Day_6[[#This Row],[End]]-Term4_Day_6[[#This Row],[Start]])*1440)</f>
        <v/>
      </c>
      <c r="AO42" s="105" t="str">
        <f>IF(ISBLANK(Term4_Day_6[[#This Row],[Activity]]),"",IF(_xlfn.XLOOKUP(Term4_Day_6[[#This Row],[Activity]],Types_of_Activity[Type of Activity],Types_of_Activity[Classification])=1,Term4_Day_6[[#This Row],[Elapsed]],0))</f>
        <v/>
      </c>
      <c r="AP42" s="105" t="str">
        <f>IF(ISBLANK(Term4_Day_6[[#This Row],[Activity]]),"",IF(_xlfn.XLOOKUP(Term4_Day_6[[#This Row],[Activity]],Types_of_Activity[Type of Activity],Types_of_Activity[Classification])=2,Term4_Day_6[[#This Row],[Elapsed]],0))</f>
        <v/>
      </c>
      <c r="AQ42" s="106"/>
      <c r="AR42" s="135"/>
      <c r="AS42" s="135"/>
      <c r="AT42" s="102"/>
      <c r="AU42" s="105" t="str">
        <f>IF(OR(ISBLANK(Term4_Day_7[[#This Row],[Start]]),ISBLANK(Term4_Day_7[[#This Row],[End]])),"",(Term4_Day_7[[#This Row],[End]]-Term4_Day_7[[#This Row],[Start]])*1440)</f>
        <v/>
      </c>
      <c r="AV42" s="105" t="str">
        <f>IF(ISBLANK(Term4_Day_7[[#This Row],[Activity]]),"",IF(_xlfn.XLOOKUP(Term4_Day_7[[#This Row],[Activity]],Types_of_Activity[Type of Activity],Types_of_Activity[Classification])=1,Term4_Day_7[[#This Row],[Elapsed]],0))</f>
        <v/>
      </c>
      <c r="AW42" s="105" t="str">
        <f>IF(ISBLANK(Term4_Day_7[[#This Row],[Activity]]),"",IF(_xlfn.XLOOKUP(Term4_Day_7[[#This Row],[Activity]],Types_of_Activity[Type of Activity],Types_of_Activity[Classification])=2,Term4_Day_7[[#This Row],[Elapsed]],0))</f>
        <v/>
      </c>
      <c r="AX42" s="106"/>
      <c r="AY42" s="135"/>
      <c r="AZ42" s="135"/>
      <c r="BA42" s="102"/>
      <c r="BB42" s="105" t="str">
        <f>IF(OR(ISBLANK(Term4_Day_8[[#This Row],[Start]]),ISBLANK(Term4_Day_8[[#This Row],[End]])),"",(Term4_Day_8[[#This Row],[End]]-Term4_Day_8[[#This Row],[Start]])*1440)</f>
        <v/>
      </c>
      <c r="BC42" s="105" t="str">
        <f>IF(ISBLANK(Term4_Day_8[[#This Row],[Activity]]),"",IF(_xlfn.XLOOKUP(Term4_Day_8[[#This Row],[Activity]],Types_of_Activity[Type of Activity],Types_of_Activity[Classification])=1,Term4_Day_8[[#This Row],[Elapsed]],0))</f>
        <v/>
      </c>
      <c r="BD42" s="105" t="str">
        <f>IF(ISBLANK(Term4_Day_8[[#This Row],[Activity]]),"",IF(_xlfn.XLOOKUP(Term4_Day_8[[#This Row],[Activity]],Types_of_Activity[Type of Activity],Types_of_Activity[Classification])=2,Term4_Day_8[[#This Row],[Elapsed]],0))</f>
        <v/>
      </c>
      <c r="BE42" s="106"/>
      <c r="BF42" s="135"/>
      <c r="BG42" s="135"/>
      <c r="BH42" s="102"/>
      <c r="BI42" s="105" t="str">
        <f>IF(OR(ISBLANK(Term4_Day_9[[#This Row],[Start]]),ISBLANK(Term4_Day_9[[#This Row],[End]])),"",(Term4_Day_9[[#This Row],[End]]-Term4_Day_9[[#This Row],[Start]])*1440)</f>
        <v/>
      </c>
      <c r="BJ42" s="105" t="str">
        <f>IF(ISBLANK(Term4_Day_9[[#This Row],[Activity]]),"",IF(_xlfn.XLOOKUP(Term4_Day_9[[#This Row],[Activity]],Types_of_Activity[Type of Activity],Types_of_Activity[Classification])=1,Term4_Day_9[[#This Row],[Elapsed]],0))</f>
        <v/>
      </c>
      <c r="BK42" s="105" t="str">
        <f>IF(ISBLANK(Term4_Day_9[[#This Row],[Activity]]),"",IF(_xlfn.XLOOKUP(Term4_Day_9[[#This Row],[Activity]],Types_of_Activity[Type of Activity],Types_of_Activity[Classification])=2,Term4_Day_9[[#This Row],[Elapsed]],0))</f>
        <v/>
      </c>
      <c r="BL42" s="106"/>
      <c r="BM42" s="135"/>
      <c r="BN42" s="135"/>
      <c r="BO42" s="102"/>
      <c r="BP42" s="105" t="str">
        <f>IF(OR(ISBLANK(Term4_Day_10[[#This Row],[Start]]),ISBLANK(Term4_Day_10[[#This Row],[End]])),"",(Term4_Day_10[[#This Row],[End]]-Term4_Day_10[[#This Row],[Start]])*1440)</f>
        <v/>
      </c>
      <c r="BQ42" s="105" t="str">
        <f>IF(ISBLANK(Term4_Day_10[[#This Row],[Activity]]),"",IF(_xlfn.XLOOKUP(Term4_Day_10[[#This Row],[Activity]],Types_of_Activity[Type of Activity],Types_of_Activity[Classification])=1,Term4_Day_10[[#This Row],[Elapsed]],0))</f>
        <v/>
      </c>
      <c r="BR42" s="105" t="str">
        <f>IF(ISBLANK(Term4_Day_10[[#This Row],[Activity]]),"",IF(_xlfn.XLOOKUP(Term4_Day_10[[#This Row],[Activity]],Types_of_Activity[Type of Activity],Types_of_Activity[Classification])=2,Term4_Day_10[[#This Row],[Elapsed]],0))</f>
        <v/>
      </c>
      <c r="BS42" s="106"/>
    </row>
    <row r="43" spans="2:71" x14ac:dyDescent="0.3">
      <c r="B43" s="135"/>
      <c r="C43" s="135"/>
      <c r="D43" s="102"/>
      <c r="E43" s="105" t="str">
        <f>IF(OR(ISBLANK(Term4_Day_1[[#This Row],[Start]]),ISBLANK(Term4_Day_1[[#This Row],[End]])),"",(Term4_Day_1[[#This Row],[End]]-Term4_Day_1[[#This Row],[Start]])*1440)</f>
        <v/>
      </c>
      <c r="F43" s="105" t="str">
        <f>IF(ISBLANK(Term4_Day_1[[#This Row],[Activity]]),"",IF(_xlfn.XLOOKUP(Term4_Day_1[[#This Row],[Activity]],Types_of_Activity[Type of Activity],Types_of_Activity[Classification])=1,Term4_Day_1[[#This Row],[Elapsed]],0))</f>
        <v/>
      </c>
      <c r="G43" s="105" t="str">
        <f>IF(ISBLANK(Term4_Day_1[[#This Row],[Activity]]),"",IF(_xlfn.XLOOKUP(Term4_Day_1[[#This Row],[Activity]],Types_of_Activity[Type of Activity],Types_of_Activity[Classification])=2,Term4_Day_1[[#This Row],[Elapsed]],0))</f>
        <v/>
      </c>
      <c r="I43" s="135"/>
      <c r="J43" s="135"/>
      <c r="K43" s="102"/>
      <c r="L43" s="105" t="str">
        <f>IF(OR(ISBLANK(Term4_Day_2[[#This Row],[Start]]),ISBLANK(Term4_Day_2[[#This Row],[End]])),"",(Term4_Day_2[[#This Row],[End]]-Term4_Day_2[[#This Row],[Start]])*1440)</f>
        <v/>
      </c>
      <c r="M43" s="105" t="str">
        <f>IF(ISBLANK(Term4_Day_2[[#This Row],[Activity]]),"",IF(_xlfn.XLOOKUP(Term4_Day_2[[#This Row],[Activity]],Types_of_Activity[Type of Activity],Types_of_Activity[Classification])=1,Term4_Day_2[[#This Row],[Elapsed]],0))</f>
        <v/>
      </c>
      <c r="N43" s="105" t="str">
        <f>IF(ISBLANK(Term4_Day_2[[#This Row],[Activity]]),"",IF(_xlfn.XLOOKUP(Term4_Day_2[[#This Row],[Activity]],Types_of_Activity[Type of Activity],Types_of_Activity[Classification])=2,Term4_Day_2[[#This Row],[Elapsed]],0))</f>
        <v/>
      </c>
      <c r="P43" s="135"/>
      <c r="Q43" s="135"/>
      <c r="R43" s="102"/>
      <c r="S43" s="105" t="str">
        <f>IF(OR(ISBLANK(Term4_Day_3[[#This Row],[Start]]),ISBLANK(Term4_Day_3[[#This Row],[End]])),"",(Term4_Day_3[[#This Row],[End]]-Term4_Day_3[[#This Row],[Start]])*1440)</f>
        <v/>
      </c>
      <c r="T43" s="105" t="str">
        <f>IF(ISBLANK(Term4_Day_3[[#This Row],[Activity]]),"",IF(_xlfn.XLOOKUP(Term4_Day_3[[#This Row],[Activity]],Types_of_Activity[Type of Activity],Types_of_Activity[Classification])=1,Term4_Day_3[[#This Row],[Elapsed]],0))</f>
        <v/>
      </c>
      <c r="U43" s="105" t="str">
        <f>IF(ISBLANK(Term4_Day_3[[#This Row],[Activity]]),"",IF(_xlfn.XLOOKUP(Term4_Day_3[[#This Row],[Activity]],Types_of_Activity[Type of Activity],Types_of_Activity[Classification])=2,Term4_Day_3[[#This Row],[Elapsed]],0))</f>
        <v/>
      </c>
      <c r="W43" s="135"/>
      <c r="X43" s="135"/>
      <c r="Y43" s="102"/>
      <c r="Z43" s="105" t="str">
        <f>IF(OR(ISBLANK(Term4_Day_4[[#This Row],[Start]]),ISBLANK(Term4_Day_4[[#This Row],[End]])),"",(Term4_Day_4[[#This Row],[End]]-Term4_Day_4[[#This Row],[Start]])*1440)</f>
        <v/>
      </c>
      <c r="AA43" s="105" t="str">
        <f>IF(ISBLANK(Term4_Day_4[[#This Row],[Activity]]),"",IF(_xlfn.XLOOKUP(Term4_Day_4[[#This Row],[Activity]],Types_of_Activity[Type of Activity],Types_of_Activity[Classification])=1,Term4_Day_4[[#This Row],[Elapsed]],0))</f>
        <v/>
      </c>
      <c r="AB43" s="105" t="str">
        <f>IF(ISBLANK(Term4_Day_4[[#This Row],[Activity]]),"",IF(_xlfn.XLOOKUP(Term4_Day_4[[#This Row],[Activity]],Types_of_Activity[Type of Activity],Types_of_Activity[Classification])=2,Term4_Day_4[[#This Row],[Elapsed]],0))</f>
        <v/>
      </c>
      <c r="AD43" s="135"/>
      <c r="AE43" s="135"/>
      <c r="AF43" s="102"/>
      <c r="AG43" s="105" t="str">
        <f>IF(OR(ISBLANK(Term4_Day_5[[#This Row],[Start]]),ISBLANK(Term4_Day_5[[#This Row],[End]])),"",(Term4_Day_5[[#This Row],[End]]-Term4_Day_5[[#This Row],[Start]])*1440)</f>
        <v/>
      </c>
      <c r="AH43" s="105" t="str">
        <f>IF(ISBLANK(Term4_Day_5[[#This Row],[Activity]]),"",IF(_xlfn.XLOOKUP(Term4_Day_5[[#This Row],[Activity]],Types_of_Activity[Type of Activity],Types_of_Activity[Classification])=1,Term4_Day_5[[#This Row],[Elapsed]],0))</f>
        <v/>
      </c>
      <c r="AI43" s="105" t="str">
        <f>IF(ISBLANK(Term4_Day_5[[#This Row],[Activity]]),"",IF(_xlfn.XLOOKUP(Term4_Day_5[[#This Row],[Activity]],Types_of_Activity[Type of Activity],Types_of_Activity[Classification])=2,Term4_Day_5[[#This Row],[Elapsed]],0))</f>
        <v/>
      </c>
      <c r="AJ43" s="106"/>
      <c r="AK43" s="135"/>
      <c r="AL43" s="135"/>
      <c r="AM43" s="102"/>
      <c r="AN43" s="105" t="str">
        <f>IF(OR(ISBLANK(Term4_Day_6[[#This Row],[Start]]),ISBLANK(Term4_Day_6[[#This Row],[End]])),"",(Term4_Day_6[[#This Row],[End]]-Term4_Day_6[[#This Row],[Start]])*1440)</f>
        <v/>
      </c>
      <c r="AO43" s="105" t="str">
        <f>IF(ISBLANK(Term4_Day_6[[#This Row],[Activity]]),"",IF(_xlfn.XLOOKUP(Term4_Day_6[[#This Row],[Activity]],Types_of_Activity[Type of Activity],Types_of_Activity[Classification])=1,Term4_Day_6[[#This Row],[Elapsed]],0))</f>
        <v/>
      </c>
      <c r="AP43" s="105" t="str">
        <f>IF(ISBLANK(Term4_Day_6[[#This Row],[Activity]]),"",IF(_xlfn.XLOOKUP(Term4_Day_6[[#This Row],[Activity]],Types_of_Activity[Type of Activity],Types_of_Activity[Classification])=2,Term4_Day_6[[#This Row],[Elapsed]],0))</f>
        <v/>
      </c>
      <c r="AQ43" s="106"/>
      <c r="AR43" s="135"/>
      <c r="AS43" s="135"/>
      <c r="AT43" s="102"/>
      <c r="AU43" s="105" t="str">
        <f>IF(OR(ISBLANK(Term4_Day_7[[#This Row],[Start]]),ISBLANK(Term4_Day_7[[#This Row],[End]])),"",(Term4_Day_7[[#This Row],[End]]-Term4_Day_7[[#This Row],[Start]])*1440)</f>
        <v/>
      </c>
      <c r="AV43" s="105" t="str">
        <f>IF(ISBLANK(Term4_Day_7[[#This Row],[Activity]]),"",IF(_xlfn.XLOOKUP(Term4_Day_7[[#This Row],[Activity]],Types_of_Activity[Type of Activity],Types_of_Activity[Classification])=1,Term4_Day_7[[#This Row],[Elapsed]],0))</f>
        <v/>
      </c>
      <c r="AW43" s="105" t="str">
        <f>IF(ISBLANK(Term4_Day_7[[#This Row],[Activity]]),"",IF(_xlfn.XLOOKUP(Term4_Day_7[[#This Row],[Activity]],Types_of_Activity[Type of Activity],Types_of_Activity[Classification])=2,Term4_Day_7[[#This Row],[Elapsed]],0))</f>
        <v/>
      </c>
      <c r="AX43" s="106"/>
      <c r="AY43" s="135"/>
      <c r="AZ43" s="135"/>
      <c r="BA43" s="102"/>
      <c r="BB43" s="105" t="str">
        <f>IF(OR(ISBLANK(Term4_Day_8[[#This Row],[Start]]),ISBLANK(Term4_Day_8[[#This Row],[End]])),"",(Term4_Day_8[[#This Row],[End]]-Term4_Day_8[[#This Row],[Start]])*1440)</f>
        <v/>
      </c>
      <c r="BC43" s="105" t="str">
        <f>IF(ISBLANK(Term4_Day_8[[#This Row],[Activity]]),"",IF(_xlfn.XLOOKUP(Term4_Day_8[[#This Row],[Activity]],Types_of_Activity[Type of Activity],Types_of_Activity[Classification])=1,Term4_Day_8[[#This Row],[Elapsed]],0))</f>
        <v/>
      </c>
      <c r="BD43" s="105" t="str">
        <f>IF(ISBLANK(Term4_Day_8[[#This Row],[Activity]]),"",IF(_xlfn.XLOOKUP(Term4_Day_8[[#This Row],[Activity]],Types_of_Activity[Type of Activity],Types_of_Activity[Classification])=2,Term4_Day_8[[#This Row],[Elapsed]],0))</f>
        <v/>
      </c>
      <c r="BE43" s="106"/>
      <c r="BF43" s="135"/>
      <c r="BG43" s="135"/>
      <c r="BH43" s="102"/>
      <c r="BI43" s="105" t="str">
        <f>IF(OR(ISBLANK(Term4_Day_9[[#This Row],[Start]]),ISBLANK(Term4_Day_9[[#This Row],[End]])),"",(Term4_Day_9[[#This Row],[End]]-Term4_Day_9[[#This Row],[Start]])*1440)</f>
        <v/>
      </c>
      <c r="BJ43" s="105" t="str">
        <f>IF(ISBLANK(Term4_Day_9[[#This Row],[Activity]]),"",IF(_xlfn.XLOOKUP(Term4_Day_9[[#This Row],[Activity]],Types_of_Activity[Type of Activity],Types_of_Activity[Classification])=1,Term4_Day_9[[#This Row],[Elapsed]],0))</f>
        <v/>
      </c>
      <c r="BK43" s="105" t="str">
        <f>IF(ISBLANK(Term4_Day_9[[#This Row],[Activity]]),"",IF(_xlfn.XLOOKUP(Term4_Day_9[[#This Row],[Activity]],Types_of_Activity[Type of Activity],Types_of_Activity[Classification])=2,Term4_Day_9[[#This Row],[Elapsed]],0))</f>
        <v/>
      </c>
      <c r="BL43" s="106"/>
      <c r="BM43" s="135"/>
      <c r="BN43" s="135"/>
      <c r="BO43" s="102"/>
      <c r="BP43" s="105" t="str">
        <f>IF(OR(ISBLANK(Term4_Day_10[[#This Row],[Start]]),ISBLANK(Term4_Day_10[[#This Row],[End]])),"",(Term4_Day_10[[#This Row],[End]]-Term4_Day_10[[#This Row],[Start]])*1440)</f>
        <v/>
      </c>
      <c r="BQ43" s="105" t="str">
        <f>IF(ISBLANK(Term4_Day_10[[#This Row],[Activity]]),"",IF(_xlfn.XLOOKUP(Term4_Day_10[[#This Row],[Activity]],Types_of_Activity[Type of Activity],Types_of_Activity[Classification])=1,Term4_Day_10[[#This Row],[Elapsed]],0))</f>
        <v/>
      </c>
      <c r="BR43" s="105" t="str">
        <f>IF(ISBLANK(Term4_Day_10[[#This Row],[Activity]]),"",IF(_xlfn.XLOOKUP(Term4_Day_10[[#This Row],[Activity]],Types_of_Activity[Type of Activity],Types_of_Activity[Classification])=2,Term4_Day_10[[#This Row],[Elapsed]],0))</f>
        <v/>
      </c>
      <c r="BS43" s="106"/>
    </row>
    <row r="44" spans="2:71" x14ac:dyDescent="0.3">
      <c r="B44" s="135"/>
      <c r="C44" s="135"/>
      <c r="D44" s="102"/>
      <c r="E44" s="105" t="str">
        <f>IF(OR(ISBLANK(Term4_Day_1[[#This Row],[Start]]),ISBLANK(Term4_Day_1[[#This Row],[End]])),"",(Term4_Day_1[[#This Row],[End]]-Term4_Day_1[[#This Row],[Start]])*1440)</f>
        <v/>
      </c>
      <c r="F44" s="105" t="str">
        <f>IF(ISBLANK(Term4_Day_1[[#This Row],[Activity]]),"",IF(_xlfn.XLOOKUP(Term4_Day_1[[#This Row],[Activity]],Types_of_Activity[Type of Activity],Types_of_Activity[Classification])=1,Term4_Day_1[[#This Row],[Elapsed]],0))</f>
        <v/>
      </c>
      <c r="G44" s="105" t="str">
        <f>IF(ISBLANK(Term4_Day_1[[#This Row],[Activity]]),"",IF(_xlfn.XLOOKUP(Term4_Day_1[[#This Row],[Activity]],Types_of_Activity[Type of Activity],Types_of_Activity[Classification])=2,Term4_Day_1[[#This Row],[Elapsed]],0))</f>
        <v/>
      </c>
      <c r="I44" s="135"/>
      <c r="J44" s="135"/>
      <c r="K44" s="102"/>
      <c r="L44" s="105" t="str">
        <f>IF(OR(ISBLANK(Term4_Day_2[[#This Row],[Start]]),ISBLANK(Term4_Day_2[[#This Row],[End]])),"",(Term4_Day_2[[#This Row],[End]]-Term4_Day_2[[#This Row],[Start]])*1440)</f>
        <v/>
      </c>
      <c r="M44" s="105" t="str">
        <f>IF(ISBLANK(Term4_Day_2[[#This Row],[Activity]]),"",IF(_xlfn.XLOOKUP(Term4_Day_2[[#This Row],[Activity]],Types_of_Activity[Type of Activity],Types_of_Activity[Classification])=1,Term4_Day_2[[#This Row],[Elapsed]],0))</f>
        <v/>
      </c>
      <c r="N44" s="105" t="str">
        <f>IF(ISBLANK(Term4_Day_2[[#This Row],[Activity]]),"",IF(_xlfn.XLOOKUP(Term4_Day_2[[#This Row],[Activity]],Types_of_Activity[Type of Activity],Types_of_Activity[Classification])=2,Term4_Day_2[[#This Row],[Elapsed]],0))</f>
        <v/>
      </c>
      <c r="P44" s="135"/>
      <c r="Q44" s="135"/>
      <c r="R44" s="102"/>
      <c r="S44" s="105" t="str">
        <f>IF(OR(ISBLANK(Term4_Day_3[[#This Row],[Start]]),ISBLANK(Term4_Day_3[[#This Row],[End]])),"",(Term4_Day_3[[#This Row],[End]]-Term4_Day_3[[#This Row],[Start]])*1440)</f>
        <v/>
      </c>
      <c r="T44" s="105" t="str">
        <f>IF(ISBLANK(Term4_Day_3[[#This Row],[Activity]]),"",IF(_xlfn.XLOOKUP(Term4_Day_3[[#This Row],[Activity]],Types_of_Activity[Type of Activity],Types_of_Activity[Classification])=1,Term4_Day_3[[#This Row],[Elapsed]],0))</f>
        <v/>
      </c>
      <c r="U44" s="105" t="str">
        <f>IF(ISBLANK(Term4_Day_3[[#This Row],[Activity]]),"",IF(_xlfn.XLOOKUP(Term4_Day_3[[#This Row],[Activity]],Types_of_Activity[Type of Activity],Types_of_Activity[Classification])=2,Term4_Day_3[[#This Row],[Elapsed]],0))</f>
        <v/>
      </c>
      <c r="W44" s="135"/>
      <c r="X44" s="135"/>
      <c r="Y44" s="102"/>
      <c r="Z44" s="105" t="str">
        <f>IF(OR(ISBLANK(Term4_Day_4[[#This Row],[Start]]),ISBLANK(Term4_Day_4[[#This Row],[End]])),"",(Term4_Day_4[[#This Row],[End]]-Term4_Day_4[[#This Row],[Start]])*1440)</f>
        <v/>
      </c>
      <c r="AA44" s="105" t="str">
        <f>IF(ISBLANK(Term4_Day_4[[#This Row],[Activity]]),"",IF(_xlfn.XLOOKUP(Term4_Day_4[[#This Row],[Activity]],Types_of_Activity[Type of Activity],Types_of_Activity[Classification])=1,Term4_Day_4[[#This Row],[Elapsed]],0))</f>
        <v/>
      </c>
      <c r="AB44" s="105" t="str">
        <f>IF(ISBLANK(Term4_Day_4[[#This Row],[Activity]]),"",IF(_xlfn.XLOOKUP(Term4_Day_4[[#This Row],[Activity]],Types_of_Activity[Type of Activity],Types_of_Activity[Classification])=2,Term4_Day_4[[#This Row],[Elapsed]],0))</f>
        <v/>
      </c>
      <c r="AD44" s="135"/>
      <c r="AE44" s="135"/>
      <c r="AF44" s="102"/>
      <c r="AG44" s="105" t="str">
        <f>IF(OR(ISBLANK(Term4_Day_5[[#This Row],[Start]]),ISBLANK(Term4_Day_5[[#This Row],[End]])),"",(Term4_Day_5[[#This Row],[End]]-Term4_Day_5[[#This Row],[Start]])*1440)</f>
        <v/>
      </c>
      <c r="AH44" s="105" t="str">
        <f>IF(ISBLANK(Term4_Day_5[[#This Row],[Activity]]),"",IF(_xlfn.XLOOKUP(Term4_Day_5[[#This Row],[Activity]],Types_of_Activity[Type of Activity],Types_of_Activity[Classification])=1,Term4_Day_5[[#This Row],[Elapsed]],0))</f>
        <v/>
      </c>
      <c r="AI44" s="105" t="str">
        <f>IF(ISBLANK(Term4_Day_5[[#This Row],[Activity]]),"",IF(_xlfn.XLOOKUP(Term4_Day_5[[#This Row],[Activity]],Types_of_Activity[Type of Activity],Types_of_Activity[Classification])=2,Term4_Day_5[[#This Row],[Elapsed]],0))</f>
        <v/>
      </c>
      <c r="AJ44" s="106"/>
      <c r="AK44" s="135"/>
      <c r="AL44" s="135"/>
      <c r="AM44" s="102"/>
      <c r="AN44" s="105" t="str">
        <f>IF(OR(ISBLANK(Term4_Day_6[[#This Row],[Start]]),ISBLANK(Term4_Day_6[[#This Row],[End]])),"",(Term4_Day_6[[#This Row],[End]]-Term4_Day_6[[#This Row],[Start]])*1440)</f>
        <v/>
      </c>
      <c r="AO44" s="105" t="str">
        <f>IF(ISBLANK(Term4_Day_6[[#This Row],[Activity]]),"",IF(_xlfn.XLOOKUP(Term4_Day_6[[#This Row],[Activity]],Types_of_Activity[Type of Activity],Types_of_Activity[Classification])=1,Term4_Day_6[[#This Row],[Elapsed]],0))</f>
        <v/>
      </c>
      <c r="AP44" s="105" t="str">
        <f>IF(ISBLANK(Term4_Day_6[[#This Row],[Activity]]),"",IF(_xlfn.XLOOKUP(Term4_Day_6[[#This Row],[Activity]],Types_of_Activity[Type of Activity],Types_of_Activity[Classification])=2,Term4_Day_6[[#This Row],[Elapsed]],0))</f>
        <v/>
      </c>
      <c r="AQ44" s="106"/>
      <c r="AR44" s="135"/>
      <c r="AS44" s="135"/>
      <c r="AT44" s="102"/>
      <c r="AU44" s="105" t="str">
        <f>IF(OR(ISBLANK(Term4_Day_7[[#This Row],[Start]]),ISBLANK(Term4_Day_7[[#This Row],[End]])),"",(Term4_Day_7[[#This Row],[End]]-Term4_Day_7[[#This Row],[Start]])*1440)</f>
        <v/>
      </c>
      <c r="AV44" s="105" t="str">
        <f>IF(ISBLANK(Term4_Day_7[[#This Row],[Activity]]),"",IF(_xlfn.XLOOKUP(Term4_Day_7[[#This Row],[Activity]],Types_of_Activity[Type of Activity],Types_of_Activity[Classification])=1,Term4_Day_7[[#This Row],[Elapsed]],0))</f>
        <v/>
      </c>
      <c r="AW44" s="105" t="str">
        <f>IF(ISBLANK(Term4_Day_7[[#This Row],[Activity]]),"",IF(_xlfn.XLOOKUP(Term4_Day_7[[#This Row],[Activity]],Types_of_Activity[Type of Activity],Types_of_Activity[Classification])=2,Term4_Day_7[[#This Row],[Elapsed]],0))</f>
        <v/>
      </c>
      <c r="AX44" s="106"/>
      <c r="AY44" s="135"/>
      <c r="AZ44" s="135"/>
      <c r="BA44" s="102"/>
      <c r="BB44" s="105" t="str">
        <f>IF(OR(ISBLANK(Term4_Day_8[[#This Row],[Start]]),ISBLANK(Term4_Day_8[[#This Row],[End]])),"",(Term4_Day_8[[#This Row],[End]]-Term4_Day_8[[#This Row],[Start]])*1440)</f>
        <v/>
      </c>
      <c r="BC44" s="105" t="str">
        <f>IF(ISBLANK(Term4_Day_8[[#This Row],[Activity]]),"",IF(_xlfn.XLOOKUP(Term4_Day_8[[#This Row],[Activity]],Types_of_Activity[Type of Activity],Types_of_Activity[Classification])=1,Term4_Day_8[[#This Row],[Elapsed]],0))</f>
        <v/>
      </c>
      <c r="BD44" s="105" t="str">
        <f>IF(ISBLANK(Term4_Day_8[[#This Row],[Activity]]),"",IF(_xlfn.XLOOKUP(Term4_Day_8[[#This Row],[Activity]],Types_of_Activity[Type of Activity],Types_of_Activity[Classification])=2,Term4_Day_8[[#This Row],[Elapsed]],0))</f>
        <v/>
      </c>
      <c r="BE44" s="106"/>
      <c r="BF44" s="135"/>
      <c r="BG44" s="135"/>
      <c r="BH44" s="102"/>
      <c r="BI44" s="105" t="str">
        <f>IF(OR(ISBLANK(Term4_Day_9[[#This Row],[Start]]),ISBLANK(Term4_Day_9[[#This Row],[End]])),"",(Term4_Day_9[[#This Row],[End]]-Term4_Day_9[[#This Row],[Start]])*1440)</f>
        <v/>
      </c>
      <c r="BJ44" s="105" t="str">
        <f>IF(ISBLANK(Term4_Day_9[[#This Row],[Activity]]),"",IF(_xlfn.XLOOKUP(Term4_Day_9[[#This Row],[Activity]],Types_of_Activity[Type of Activity],Types_of_Activity[Classification])=1,Term4_Day_9[[#This Row],[Elapsed]],0))</f>
        <v/>
      </c>
      <c r="BK44" s="105" t="str">
        <f>IF(ISBLANK(Term4_Day_9[[#This Row],[Activity]]),"",IF(_xlfn.XLOOKUP(Term4_Day_9[[#This Row],[Activity]],Types_of_Activity[Type of Activity],Types_of_Activity[Classification])=2,Term4_Day_9[[#This Row],[Elapsed]],0))</f>
        <v/>
      </c>
      <c r="BL44" s="106"/>
      <c r="BM44" s="135"/>
      <c r="BN44" s="135"/>
      <c r="BO44" s="102"/>
      <c r="BP44" s="105" t="str">
        <f>IF(OR(ISBLANK(Term4_Day_10[[#This Row],[Start]]),ISBLANK(Term4_Day_10[[#This Row],[End]])),"",(Term4_Day_10[[#This Row],[End]]-Term4_Day_10[[#This Row],[Start]])*1440)</f>
        <v/>
      </c>
      <c r="BQ44" s="105" t="str">
        <f>IF(ISBLANK(Term4_Day_10[[#This Row],[Activity]]),"",IF(_xlfn.XLOOKUP(Term4_Day_10[[#This Row],[Activity]],Types_of_Activity[Type of Activity],Types_of_Activity[Classification])=1,Term4_Day_10[[#This Row],[Elapsed]],0))</f>
        <v/>
      </c>
      <c r="BR44" s="105" t="str">
        <f>IF(ISBLANK(Term4_Day_10[[#This Row],[Activity]]),"",IF(_xlfn.XLOOKUP(Term4_Day_10[[#This Row],[Activity]],Types_of_Activity[Type of Activity],Types_of_Activity[Classification])=2,Term4_Day_10[[#This Row],[Elapsed]],0))</f>
        <v/>
      </c>
      <c r="BS44" s="106"/>
    </row>
    <row r="45" spans="2:71" x14ac:dyDescent="0.3">
      <c r="B45" s="135"/>
      <c r="C45" s="135"/>
      <c r="D45" s="102"/>
      <c r="E45" s="105" t="str">
        <f>IF(OR(ISBLANK(Term4_Day_1[[#This Row],[Start]]),ISBLANK(Term4_Day_1[[#This Row],[End]])),"",(Term4_Day_1[[#This Row],[End]]-Term4_Day_1[[#This Row],[Start]])*1440)</f>
        <v/>
      </c>
      <c r="F45" s="105" t="str">
        <f>IF(ISBLANK(Term4_Day_1[[#This Row],[Activity]]),"",IF(_xlfn.XLOOKUP(Term4_Day_1[[#This Row],[Activity]],Types_of_Activity[Type of Activity],Types_of_Activity[Classification])=1,Term4_Day_1[[#This Row],[Elapsed]],0))</f>
        <v/>
      </c>
      <c r="G45" s="105" t="str">
        <f>IF(ISBLANK(Term4_Day_1[[#This Row],[Activity]]),"",IF(_xlfn.XLOOKUP(Term4_Day_1[[#This Row],[Activity]],Types_of_Activity[Type of Activity],Types_of_Activity[Classification])=2,Term4_Day_1[[#This Row],[Elapsed]],0))</f>
        <v/>
      </c>
      <c r="I45" s="135"/>
      <c r="J45" s="135"/>
      <c r="K45" s="102"/>
      <c r="L45" s="105" t="str">
        <f>IF(OR(ISBLANK(Term4_Day_2[[#This Row],[Start]]),ISBLANK(Term4_Day_2[[#This Row],[End]])),"",(Term4_Day_2[[#This Row],[End]]-Term4_Day_2[[#This Row],[Start]])*1440)</f>
        <v/>
      </c>
      <c r="M45" s="105" t="str">
        <f>IF(ISBLANK(Term4_Day_2[[#This Row],[Activity]]),"",IF(_xlfn.XLOOKUP(Term4_Day_2[[#This Row],[Activity]],Types_of_Activity[Type of Activity],Types_of_Activity[Classification])=1,Term4_Day_2[[#This Row],[Elapsed]],0))</f>
        <v/>
      </c>
      <c r="N45" s="105" t="str">
        <f>IF(ISBLANK(Term4_Day_2[[#This Row],[Activity]]),"",IF(_xlfn.XLOOKUP(Term4_Day_2[[#This Row],[Activity]],Types_of_Activity[Type of Activity],Types_of_Activity[Classification])=2,Term4_Day_2[[#This Row],[Elapsed]],0))</f>
        <v/>
      </c>
      <c r="P45" s="135"/>
      <c r="Q45" s="135"/>
      <c r="R45" s="102"/>
      <c r="S45" s="105" t="str">
        <f>IF(OR(ISBLANK(Term4_Day_3[[#This Row],[Start]]),ISBLANK(Term4_Day_3[[#This Row],[End]])),"",(Term4_Day_3[[#This Row],[End]]-Term4_Day_3[[#This Row],[Start]])*1440)</f>
        <v/>
      </c>
      <c r="T45" s="105" t="str">
        <f>IF(ISBLANK(Term4_Day_3[[#This Row],[Activity]]),"",IF(_xlfn.XLOOKUP(Term4_Day_3[[#This Row],[Activity]],Types_of_Activity[Type of Activity],Types_of_Activity[Classification])=1,Term4_Day_3[[#This Row],[Elapsed]],0))</f>
        <v/>
      </c>
      <c r="U45" s="105" t="str">
        <f>IF(ISBLANK(Term4_Day_3[[#This Row],[Activity]]),"",IF(_xlfn.XLOOKUP(Term4_Day_3[[#This Row],[Activity]],Types_of_Activity[Type of Activity],Types_of_Activity[Classification])=2,Term4_Day_3[[#This Row],[Elapsed]],0))</f>
        <v/>
      </c>
      <c r="W45" s="135"/>
      <c r="X45" s="135"/>
      <c r="Y45" s="102"/>
      <c r="Z45" s="105" t="str">
        <f>IF(OR(ISBLANK(Term4_Day_4[[#This Row],[Start]]),ISBLANK(Term4_Day_4[[#This Row],[End]])),"",(Term4_Day_4[[#This Row],[End]]-Term4_Day_4[[#This Row],[Start]])*1440)</f>
        <v/>
      </c>
      <c r="AA45" s="105" t="str">
        <f>IF(ISBLANK(Term4_Day_4[[#This Row],[Activity]]),"",IF(_xlfn.XLOOKUP(Term4_Day_4[[#This Row],[Activity]],Types_of_Activity[Type of Activity],Types_of_Activity[Classification])=1,Term4_Day_4[[#This Row],[Elapsed]],0))</f>
        <v/>
      </c>
      <c r="AB45" s="105" t="str">
        <f>IF(ISBLANK(Term4_Day_4[[#This Row],[Activity]]),"",IF(_xlfn.XLOOKUP(Term4_Day_4[[#This Row],[Activity]],Types_of_Activity[Type of Activity],Types_of_Activity[Classification])=2,Term4_Day_4[[#This Row],[Elapsed]],0))</f>
        <v/>
      </c>
      <c r="AD45" s="135"/>
      <c r="AE45" s="135"/>
      <c r="AF45" s="102"/>
      <c r="AG45" s="105" t="str">
        <f>IF(OR(ISBLANK(Term4_Day_5[[#This Row],[Start]]),ISBLANK(Term4_Day_5[[#This Row],[End]])),"",(Term4_Day_5[[#This Row],[End]]-Term4_Day_5[[#This Row],[Start]])*1440)</f>
        <v/>
      </c>
      <c r="AH45" s="105" t="str">
        <f>IF(ISBLANK(Term4_Day_5[[#This Row],[Activity]]),"",IF(_xlfn.XLOOKUP(Term4_Day_5[[#This Row],[Activity]],Types_of_Activity[Type of Activity],Types_of_Activity[Classification])=1,Term4_Day_5[[#This Row],[Elapsed]],0))</f>
        <v/>
      </c>
      <c r="AI45" s="105" t="str">
        <f>IF(ISBLANK(Term4_Day_5[[#This Row],[Activity]]),"",IF(_xlfn.XLOOKUP(Term4_Day_5[[#This Row],[Activity]],Types_of_Activity[Type of Activity],Types_of_Activity[Classification])=2,Term4_Day_5[[#This Row],[Elapsed]],0))</f>
        <v/>
      </c>
      <c r="AJ45" s="106"/>
      <c r="AK45" s="135"/>
      <c r="AL45" s="135"/>
      <c r="AM45" s="102"/>
      <c r="AN45" s="105" t="str">
        <f>IF(OR(ISBLANK(Term4_Day_6[[#This Row],[Start]]),ISBLANK(Term4_Day_6[[#This Row],[End]])),"",(Term4_Day_6[[#This Row],[End]]-Term4_Day_6[[#This Row],[Start]])*1440)</f>
        <v/>
      </c>
      <c r="AO45" s="105" t="str">
        <f>IF(ISBLANK(Term4_Day_6[[#This Row],[Activity]]),"",IF(_xlfn.XLOOKUP(Term4_Day_6[[#This Row],[Activity]],Types_of_Activity[Type of Activity],Types_of_Activity[Classification])=1,Term4_Day_6[[#This Row],[Elapsed]],0))</f>
        <v/>
      </c>
      <c r="AP45" s="105" t="str">
        <f>IF(ISBLANK(Term4_Day_6[[#This Row],[Activity]]),"",IF(_xlfn.XLOOKUP(Term4_Day_6[[#This Row],[Activity]],Types_of_Activity[Type of Activity],Types_of_Activity[Classification])=2,Term4_Day_6[[#This Row],[Elapsed]],0))</f>
        <v/>
      </c>
      <c r="AQ45" s="106"/>
      <c r="AR45" s="135"/>
      <c r="AS45" s="135"/>
      <c r="AT45" s="102"/>
      <c r="AU45" s="105" t="str">
        <f>IF(OR(ISBLANK(Term4_Day_7[[#This Row],[Start]]),ISBLANK(Term4_Day_7[[#This Row],[End]])),"",(Term4_Day_7[[#This Row],[End]]-Term4_Day_7[[#This Row],[Start]])*1440)</f>
        <v/>
      </c>
      <c r="AV45" s="105" t="str">
        <f>IF(ISBLANK(Term4_Day_7[[#This Row],[Activity]]),"",IF(_xlfn.XLOOKUP(Term4_Day_7[[#This Row],[Activity]],Types_of_Activity[Type of Activity],Types_of_Activity[Classification])=1,Term4_Day_7[[#This Row],[Elapsed]],0))</f>
        <v/>
      </c>
      <c r="AW45" s="105" t="str">
        <f>IF(ISBLANK(Term4_Day_7[[#This Row],[Activity]]),"",IF(_xlfn.XLOOKUP(Term4_Day_7[[#This Row],[Activity]],Types_of_Activity[Type of Activity],Types_of_Activity[Classification])=2,Term4_Day_7[[#This Row],[Elapsed]],0))</f>
        <v/>
      </c>
      <c r="AX45" s="106"/>
      <c r="AY45" s="135"/>
      <c r="AZ45" s="135"/>
      <c r="BA45" s="102"/>
      <c r="BB45" s="105" t="str">
        <f>IF(OR(ISBLANK(Term4_Day_8[[#This Row],[Start]]),ISBLANK(Term4_Day_8[[#This Row],[End]])),"",(Term4_Day_8[[#This Row],[End]]-Term4_Day_8[[#This Row],[Start]])*1440)</f>
        <v/>
      </c>
      <c r="BC45" s="105" t="str">
        <f>IF(ISBLANK(Term4_Day_8[[#This Row],[Activity]]),"",IF(_xlfn.XLOOKUP(Term4_Day_8[[#This Row],[Activity]],Types_of_Activity[Type of Activity],Types_of_Activity[Classification])=1,Term4_Day_8[[#This Row],[Elapsed]],0))</f>
        <v/>
      </c>
      <c r="BD45" s="105" t="str">
        <f>IF(ISBLANK(Term4_Day_8[[#This Row],[Activity]]),"",IF(_xlfn.XLOOKUP(Term4_Day_8[[#This Row],[Activity]],Types_of_Activity[Type of Activity],Types_of_Activity[Classification])=2,Term4_Day_8[[#This Row],[Elapsed]],0))</f>
        <v/>
      </c>
      <c r="BE45" s="106"/>
      <c r="BF45" s="135"/>
      <c r="BG45" s="135"/>
      <c r="BH45" s="102"/>
      <c r="BI45" s="105" t="str">
        <f>IF(OR(ISBLANK(Term4_Day_9[[#This Row],[Start]]),ISBLANK(Term4_Day_9[[#This Row],[End]])),"",(Term4_Day_9[[#This Row],[End]]-Term4_Day_9[[#This Row],[Start]])*1440)</f>
        <v/>
      </c>
      <c r="BJ45" s="105" t="str">
        <f>IF(ISBLANK(Term4_Day_9[[#This Row],[Activity]]),"",IF(_xlfn.XLOOKUP(Term4_Day_9[[#This Row],[Activity]],Types_of_Activity[Type of Activity],Types_of_Activity[Classification])=1,Term4_Day_9[[#This Row],[Elapsed]],0))</f>
        <v/>
      </c>
      <c r="BK45" s="105" t="str">
        <f>IF(ISBLANK(Term4_Day_9[[#This Row],[Activity]]),"",IF(_xlfn.XLOOKUP(Term4_Day_9[[#This Row],[Activity]],Types_of_Activity[Type of Activity],Types_of_Activity[Classification])=2,Term4_Day_9[[#This Row],[Elapsed]],0))</f>
        <v/>
      </c>
      <c r="BL45" s="106"/>
      <c r="BM45" s="135"/>
      <c r="BN45" s="135"/>
      <c r="BO45" s="102"/>
      <c r="BP45" s="105" t="str">
        <f>IF(OR(ISBLANK(Term4_Day_10[[#This Row],[Start]]),ISBLANK(Term4_Day_10[[#This Row],[End]])),"",(Term4_Day_10[[#This Row],[End]]-Term4_Day_10[[#This Row],[Start]])*1440)</f>
        <v/>
      </c>
      <c r="BQ45" s="105" t="str">
        <f>IF(ISBLANK(Term4_Day_10[[#This Row],[Activity]]),"",IF(_xlfn.XLOOKUP(Term4_Day_10[[#This Row],[Activity]],Types_of_Activity[Type of Activity],Types_of_Activity[Classification])=1,Term4_Day_10[[#This Row],[Elapsed]],0))</f>
        <v/>
      </c>
      <c r="BR45" s="105" t="str">
        <f>IF(ISBLANK(Term4_Day_10[[#This Row],[Activity]]),"",IF(_xlfn.XLOOKUP(Term4_Day_10[[#This Row],[Activity]],Types_of_Activity[Type of Activity],Types_of_Activity[Classification])=2,Term4_Day_10[[#This Row],[Elapsed]],0))</f>
        <v/>
      </c>
      <c r="BS45" s="106"/>
    </row>
    <row r="46" spans="2:71" x14ac:dyDescent="0.3">
      <c r="B46" s="135"/>
      <c r="C46" s="135"/>
      <c r="D46" s="102"/>
      <c r="E46" s="105" t="str">
        <f>IF(OR(ISBLANK(Term4_Day_1[[#This Row],[Start]]),ISBLANK(Term4_Day_1[[#This Row],[End]])),"",(Term4_Day_1[[#This Row],[End]]-Term4_Day_1[[#This Row],[Start]])*1440)</f>
        <v/>
      </c>
      <c r="F46" s="105" t="str">
        <f>IF(ISBLANK(Term4_Day_1[[#This Row],[Activity]]),"",IF(_xlfn.XLOOKUP(Term4_Day_1[[#This Row],[Activity]],Types_of_Activity[Type of Activity],Types_of_Activity[Classification])=1,Term4_Day_1[[#This Row],[Elapsed]],0))</f>
        <v/>
      </c>
      <c r="G46" s="105" t="str">
        <f>IF(ISBLANK(Term4_Day_1[[#This Row],[Activity]]),"",IF(_xlfn.XLOOKUP(Term4_Day_1[[#This Row],[Activity]],Types_of_Activity[Type of Activity],Types_of_Activity[Classification])=2,Term4_Day_1[[#This Row],[Elapsed]],0))</f>
        <v/>
      </c>
      <c r="I46" s="135"/>
      <c r="J46" s="135"/>
      <c r="K46" s="102"/>
      <c r="L46" s="105" t="str">
        <f>IF(OR(ISBLANK(Term4_Day_2[[#This Row],[Start]]),ISBLANK(Term4_Day_2[[#This Row],[End]])),"",(Term4_Day_2[[#This Row],[End]]-Term4_Day_2[[#This Row],[Start]])*1440)</f>
        <v/>
      </c>
      <c r="M46" s="105" t="str">
        <f>IF(ISBLANK(Term4_Day_2[[#This Row],[Activity]]),"",IF(_xlfn.XLOOKUP(Term4_Day_2[[#This Row],[Activity]],Types_of_Activity[Type of Activity],Types_of_Activity[Classification])=1,Term4_Day_2[[#This Row],[Elapsed]],0))</f>
        <v/>
      </c>
      <c r="N46" s="105" t="str">
        <f>IF(ISBLANK(Term4_Day_2[[#This Row],[Activity]]),"",IF(_xlfn.XLOOKUP(Term4_Day_2[[#This Row],[Activity]],Types_of_Activity[Type of Activity],Types_of_Activity[Classification])=2,Term4_Day_2[[#This Row],[Elapsed]],0))</f>
        <v/>
      </c>
      <c r="P46" s="135"/>
      <c r="Q46" s="135"/>
      <c r="R46" s="102"/>
      <c r="S46" s="105" t="str">
        <f>IF(OR(ISBLANK(Term4_Day_3[[#This Row],[Start]]),ISBLANK(Term4_Day_3[[#This Row],[End]])),"",(Term4_Day_3[[#This Row],[End]]-Term4_Day_3[[#This Row],[Start]])*1440)</f>
        <v/>
      </c>
      <c r="T46" s="105" t="str">
        <f>IF(ISBLANK(Term4_Day_3[[#This Row],[Activity]]),"",IF(_xlfn.XLOOKUP(Term4_Day_3[[#This Row],[Activity]],Types_of_Activity[Type of Activity],Types_of_Activity[Classification])=1,Term4_Day_3[[#This Row],[Elapsed]],0))</f>
        <v/>
      </c>
      <c r="U46" s="105" t="str">
        <f>IF(ISBLANK(Term4_Day_3[[#This Row],[Activity]]),"",IF(_xlfn.XLOOKUP(Term4_Day_3[[#This Row],[Activity]],Types_of_Activity[Type of Activity],Types_of_Activity[Classification])=2,Term4_Day_3[[#This Row],[Elapsed]],0))</f>
        <v/>
      </c>
      <c r="W46" s="135"/>
      <c r="X46" s="135"/>
      <c r="Y46" s="102"/>
      <c r="Z46" s="105" t="str">
        <f>IF(OR(ISBLANK(Term4_Day_4[[#This Row],[Start]]),ISBLANK(Term4_Day_4[[#This Row],[End]])),"",(Term4_Day_4[[#This Row],[End]]-Term4_Day_4[[#This Row],[Start]])*1440)</f>
        <v/>
      </c>
      <c r="AA46" s="105" t="str">
        <f>IF(ISBLANK(Term4_Day_4[[#This Row],[Activity]]),"",IF(_xlfn.XLOOKUP(Term4_Day_4[[#This Row],[Activity]],Types_of_Activity[Type of Activity],Types_of_Activity[Classification])=1,Term4_Day_4[[#This Row],[Elapsed]],0))</f>
        <v/>
      </c>
      <c r="AB46" s="105" t="str">
        <f>IF(ISBLANK(Term4_Day_4[[#This Row],[Activity]]),"",IF(_xlfn.XLOOKUP(Term4_Day_4[[#This Row],[Activity]],Types_of_Activity[Type of Activity],Types_of_Activity[Classification])=2,Term4_Day_4[[#This Row],[Elapsed]],0))</f>
        <v/>
      </c>
      <c r="AD46" s="135"/>
      <c r="AE46" s="135"/>
      <c r="AF46" s="102"/>
      <c r="AG46" s="105" t="str">
        <f>IF(OR(ISBLANK(Term4_Day_5[[#This Row],[Start]]),ISBLANK(Term4_Day_5[[#This Row],[End]])),"",(Term4_Day_5[[#This Row],[End]]-Term4_Day_5[[#This Row],[Start]])*1440)</f>
        <v/>
      </c>
      <c r="AH46" s="105" t="str">
        <f>IF(ISBLANK(Term4_Day_5[[#This Row],[Activity]]),"",IF(_xlfn.XLOOKUP(Term4_Day_5[[#This Row],[Activity]],Types_of_Activity[Type of Activity],Types_of_Activity[Classification])=1,Term4_Day_5[[#This Row],[Elapsed]],0))</f>
        <v/>
      </c>
      <c r="AI46" s="105" t="str">
        <f>IF(ISBLANK(Term4_Day_5[[#This Row],[Activity]]),"",IF(_xlfn.XLOOKUP(Term4_Day_5[[#This Row],[Activity]],Types_of_Activity[Type of Activity],Types_of_Activity[Classification])=2,Term4_Day_5[[#This Row],[Elapsed]],0))</f>
        <v/>
      </c>
      <c r="AJ46" s="106"/>
      <c r="AK46" s="135"/>
      <c r="AL46" s="135"/>
      <c r="AM46" s="102"/>
      <c r="AN46" s="105" t="str">
        <f>IF(OR(ISBLANK(Term4_Day_6[[#This Row],[Start]]),ISBLANK(Term4_Day_6[[#This Row],[End]])),"",(Term4_Day_6[[#This Row],[End]]-Term4_Day_6[[#This Row],[Start]])*1440)</f>
        <v/>
      </c>
      <c r="AO46" s="105" t="str">
        <f>IF(ISBLANK(Term4_Day_6[[#This Row],[Activity]]),"",IF(_xlfn.XLOOKUP(Term4_Day_6[[#This Row],[Activity]],Types_of_Activity[Type of Activity],Types_of_Activity[Classification])=1,Term4_Day_6[[#This Row],[Elapsed]],0))</f>
        <v/>
      </c>
      <c r="AP46" s="105" t="str">
        <f>IF(ISBLANK(Term4_Day_6[[#This Row],[Activity]]),"",IF(_xlfn.XLOOKUP(Term4_Day_6[[#This Row],[Activity]],Types_of_Activity[Type of Activity],Types_of_Activity[Classification])=2,Term4_Day_6[[#This Row],[Elapsed]],0))</f>
        <v/>
      </c>
      <c r="AQ46" s="106"/>
      <c r="AR46" s="135"/>
      <c r="AS46" s="135"/>
      <c r="AT46" s="102"/>
      <c r="AU46" s="105" t="str">
        <f>IF(OR(ISBLANK(Term4_Day_7[[#This Row],[Start]]),ISBLANK(Term4_Day_7[[#This Row],[End]])),"",(Term4_Day_7[[#This Row],[End]]-Term4_Day_7[[#This Row],[Start]])*1440)</f>
        <v/>
      </c>
      <c r="AV46" s="105" t="str">
        <f>IF(ISBLANK(Term4_Day_7[[#This Row],[Activity]]),"",IF(_xlfn.XLOOKUP(Term4_Day_7[[#This Row],[Activity]],Types_of_Activity[Type of Activity],Types_of_Activity[Classification])=1,Term4_Day_7[[#This Row],[Elapsed]],0))</f>
        <v/>
      </c>
      <c r="AW46" s="105" t="str">
        <f>IF(ISBLANK(Term4_Day_7[[#This Row],[Activity]]),"",IF(_xlfn.XLOOKUP(Term4_Day_7[[#This Row],[Activity]],Types_of_Activity[Type of Activity],Types_of_Activity[Classification])=2,Term4_Day_7[[#This Row],[Elapsed]],0))</f>
        <v/>
      </c>
      <c r="AX46" s="106"/>
      <c r="AY46" s="135"/>
      <c r="AZ46" s="135"/>
      <c r="BA46" s="102"/>
      <c r="BB46" s="105" t="str">
        <f>IF(OR(ISBLANK(Term4_Day_8[[#This Row],[Start]]),ISBLANK(Term4_Day_8[[#This Row],[End]])),"",(Term4_Day_8[[#This Row],[End]]-Term4_Day_8[[#This Row],[Start]])*1440)</f>
        <v/>
      </c>
      <c r="BC46" s="105" t="str">
        <f>IF(ISBLANK(Term4_Day_8[[#This Row],[Activity]]),"",IF(_xlfn.XLOOKUP(Term4_Day_8[[#This Row],[Activity]],Types_of_Activity[Type of Activity],Types_of_Activity[Classification])=1,Term4_Day_8[[#This Row],[Elapsed]],0))</f>
        <v/>
      </c>
      <c r="BD46" s="105" t="str">
        <f>IF(ISBLANK(Term4_Day_8[[#This Row],[Activity]]),"",IF(_xlfn.XLOOKUP(Term4_Day_8[[#This Row],[Activity]],Types_of_Activity[Type of Activity],Types_of_Activity[Classification])=2,Term4_Day_8[[#This Row],[Elapsed]],0))</f>
        <v/>
      </c>
      <c r="BE46" s="106"/>
      <c r="BF46" s="135"/>
      <c r="BG46" s="135"/>
      <c r="BH46" s="102"/>
      <c r="BI46" s="105" t="str">
        <f>IF(OR(ISBLANK(Term4_Day_9[[#This Row],[Start]]),ISBLANK(Term4_Day_9[[#This Row],[End]])),"",(Term4_Day_9[[#This Row],[End]]-Term4_Day_9[[#This Row],[Start]])*1440)</f>
        <v/>
      </c>
      <c r="BJ46" s="105" t="str">
        <f>IF(ISBLANK(Term4_Day_9[[#This Row],[Activity]]),"",IF(_xlfn.XLOOKUP(Term4_Day_9[[#This Row],[Activity]],Types_of_Activity[Type of Activity],Types_of_Activity[Classification])=1,Term4_Day_9[[#This Row],[Elapsed]],0))</f>
        <v/>
      </c>
      <c r="BK46" s="105" t="str">
        <f>IF(ISBLANK(Term4_Day_9[[#This Row],[Activity]]),"",IF(_xlfn.XLOOKUP(Term4_Day_9[[#This Row],[Activity]],Types_of_Activity[Type of Activity],Types_of_Activity[Classification])=2,Term4_Day_9[[#This Row],[Elapsed]],0))</f>
        <v/>
      </c>
      <c r="BL46" s="106"/>
      <c r="BM46" s="135"/>
      <c r="BN46" s="135"/>
      <c r="BO46" s="102"/>
      <c r="BP46" s="105" t="str">
        <f>IF(OR(ISBLANK(Term4_Day_10[[#This Row],[Start]]),ISBLANK(Term4_Day_10[[#This Row],[End]])),"",(Term4_Day_10[[#This Row],[End]]-Term4_Day_10[[#This Row],[Start]])*1440)</f>
        <v/>
      </c>
      <c r="BQ46" s="105" t="str">
        <f>IF(ISBLANK(Term4_Day_10[[#This Row],[Activity]]),"",IF(_xlfn.XLOOKUP(Term4_Day_10[[#This Row],[Activity]],Types_of_Activity[Type of Activity],Types_of_Activity[Classification])=1,Term4_Day_10[[#This Row],[Elapsed]],0))</f>
        <v/>
      </c>
      <c r="BR46" s="105" t="str">
        <f>IF(ISBLANK(Term4_Day_10[[#This Row],[Activity]]),"",IF(_xlfn.XLOOKUP(Term4_Day_10[[#This Row],[Activity]],Types_of_Activity[Type of Activity],Types_of_Activity[Classification])=2,Term4_Day_10[[#This Row],[Elapsed]],0))</f>
        <v/>
      </c>
      <c r="BS46" s="106"/>
    </row>
    <row r="47" spans="2:71" x14ac:dyDescent="0.3">
      <c r="B47" s="135"/>
      <c r="C47" s="135"/>
      <c r="D47" s="102"/>
      <c r="E47" s="105" t="str">
        <f>IF(OR(ISBLANK(Term4_Day_1[[#This Row],[Start]]),ISBLANK(Term4_Day_1[[#This Row],[End]])),"",(Term4_Day_1[[#This Row],[End]]-Term4_Day_1[[#This Row],[Start]])*1440)</f>
        <v/>
      </c>
      <c r="F47" s="105" t="str">
        <f>IF(ISBLANK(Term4_Day_1[[#This Row],[Activity]]),"",IF(_xlfn.XLOOKUP(Term4_Day_1[[#This Row],[Activity]],Types_of_Activity[Type of Activity],Types_of_Activity[Classification])=1,Term4_Day_1[[#This Row],[Elapsed]],0))</f>
        <v/>
      </c>
      <c r="G47" s="105" t="str">
        <f>IF(ISBLANK(Term4_Day_1[[#This Row],[Activity]]),"",IF(_xlfn.XLOOKUP(Term4_Day_1[[#This Row],[Activity]],Types_of_Activity[Type of Activity],Types_of_Activity[Classification])=2,Term4_Day_1[[#This Row],[Elapsed]],0))</f>
        <v/>
      </c>
      <c r="I47" s="135"/>
      <c r="J47" s="135"/>
      <c r="K47" s="102"/>
      <c r="L47" s="105" t="str">
        <f>IF(OR(ISBLANK(Term4_Day_2[[#This Row],[Start]]),ISBLANK(Term4_Day_2[[#This Row],[End]])),"",(Term4_Day_2[[#This Row],[End]]-Term4_Day_2[[#This Row],[Start]])*1440)</f>
        <v/>
      </c>
      <c r="M47" s="105" t="str">
        <f>IF(ISBLANK(Term4_Day_2[[#This Row],[Activity]]),"",IF(_xlfn.XLOOKUP(Term4_Day_2[[#This Row],[Activity]],Types_of_Activity[Type of Activity],Types_of_Activity[Classification])=1,Term4_Day_2[[#This Row],[Elapsed]],0))</f>
        <v/>
      </c>
      <c r="N47" s="105" t="str">
        <f>IF(ISBLANK(Term4_Day_2[[#This Row],[Activity]]),"",IF(_xlfn.XLOOKUP(Term4_Day_2[[#This Row],[Activity]],Types_of_Activity[Type of Activity],Types_of_Activity[Classification])=2,Term4_Day_2[[#This Row],[Elapsed]],0))</f>
        <v/>
      </c>
      <c r="P47" s="135"/>
      <c r="Q47" s="135"/>
      <c r="R47" s="102"/>
      <c r="S47" s="105" t="str">
        <f>IF(OR(ISBLANK(Term4_Day_3[[#This Row],[Start]]),ISBLANK(Term4_Day_3[[#This Row],[End]])),"",(Term4_Day_3[[#This Row],[End]]-Term4_Day_3[[#This Row],[Start]])*1440)</f>
        <v/>
      </c>
      <c r="T47" s="105" t="str">
        <f>IF(ISBLANK(Term4_Day_3[[#This Row],[Activity]]),"",IF(_xlfn.XLOOKUP(Term4_Day_3[[#This Row],[Activity]],Types_of_Activity[Type of Activity],Types_of_Activity[Classification])=1,Term4_Day_3[[#This Row],[Elapsed]],0))</f>
        <v/>
      </c>
      <c r="U47" s="105" t="str">
        <f>IF(ISBLANK(Term4_Day_3[[#This Row],[Activity]]),"",IF(_xlfn.XLOOKUP(Term4_Day_3[[#This Row],[Activity]],Types_of_Activity[Type of Activity],Types_of_Activity[Classification])=2,Term4_Day_3[[#This Row],[Elapsed]],0))</f>
        <v/>
      </c>
      <c r="W47" s="135"/>
      <c r="X47" s="135"/>
      <c r="Y47" s="102"/>
      <c r="Z47" s="105" t="str">
        <f>IF(OR(ISBLANK(Term4_Day_4[[#This Row],[Start]]),ISBLANK(Term4_Day_4[[#This Row],[End]])),"",(Term4_Day_4[[#This Row],[End]]-Term4_Day_4[[#This Row],[Start]])*1440)</f>
        <v/>
      </c>
      <c r="AA47" s="105" t="str">
        <f>IF(ISBLANK(Term4_Day_4[[#This Row],[Activity]]),"",IF(_xlfn.XLOOKUP(Term4_Day_4[[#This Row],[Activity]],Types_of_Activity[Type of Activity],Types_of_Activity[Classification])=1,Term4_Day_4[[#This Row],[Elapsed]],0))</f>
        <v/>
      </c>
      <c r="AB47" s="105" t="str">
        <f>IF(ISBLANK(Term4_Day_4[[#This Row],[Activity]]),"",IF(_xlfn.XLOOKUP(Term4_Day_4[[#This Row],[Activity]],Types_of_Activity[Type of Activity],Types_of_Activity[Classification])=2,Term4_Day_4[[#This Row],[Elapsed]],0))</f>
        <v/>
      </c>
      <c r="AD47" s="135"/>
      <c r="AE47" s="135"/>
      <c r="AF47" s="102"/>
      <c r="AG47" s="105" t="str">
        <f>IF(OR(ISBLANK(Term4_Day_5[[#This Row],[Start]]),ISBLANK(Term4_Day_5[[#This Row],[End]])),"",(Term4_Day_5[[#This Row],[End]]-Term4_Day_5[[#This Row],[Start]])*1440)</f>
        <v/>
      </c>
      <c r="AH47" s="105" t="str">
        <f>IF(ISBLANK(Term4_Day_5[[#This Row],[Activity]]),"",IF(_xlfn.XLOOKUP(Term4_Day_5[[#This Row],[Activity]],Types_of_Activity[Type of Activity],Types_of_Activity[Classification])=1,Term4_Day_5[[#This Row],[Elapsed]],0))</f>
        <v/>
      </c>
      <c r="AI47" s="105" t="str">
        <f>IF(ISBLANK(Term4_Day_5[[#This Row],[Activity]]),"",IF(_xlfn.XLOOKUP(Term4_Day_5[[#This Row],[Activity]],Types_of_Activity[Type of Activity],Types_of_Activity[Classification])=2,Term4_Day_5[[#This Row],[Elapsed]],0))</f>
        <v/>
      </c>
      <c r="AJ47" s="106"/>
      <c r="AK47" s="135"/>
      <c r="AL47" s="135"/>
      <c r="AM47" s="102"/>
      <c r="AN47" s="105" t="str">
        <f>IF(OR(ISBLANK(Term4_Day_6[[#This Row],[Start]]),ISBLANK(Term4_Day_6[[#This Row],[End]])),"",(Term4_Day_6[[#This Row],[End]]-Term4_Day_6[[#This Row],[Start]])*1440)</f>
        <v/>
      </c>
      <c r="AO47" s="105" t="str">
        <f>IF(ISBLANK(Term4_Day_6[[#This Row],[Activity]]),"",IF(_xlfn.XLOOKUP(Term4_Day_6[[#This Row],[Activity]],Types_of_Activity[Type of Activity],Types_of_Activity[Classification])=1,Term4_Day_6[[#This Row],[Elapsed]],0))</f>
        <v/>
      </c>
      <c r="AP47" s="105" t="str">
        <f>IF(ISBLANK(Term4_Day_6[[#This Row],[Activity]]),"",IF(_xlfn.XLOOKUP(Term4_Day_6[[#This Row],[Activity]],Types_of_Activity[Type of Activity],Types_of_Activity[Classification])=2,Term4_Day_6[[#This Row],[Elapsed]],0))</f>
        <v/>
      </c>
      <c r="AQ47" s="106"/>
      <c r="AR47" s="135"/>
      <c r="AS47" s="135"/>
      <c r="AT47" s="102"/>
      <c r="AU47" s="105" t="str">
        <f>IF(OR(ISBLANK(Term4_Day_7[[#This Row],[Start]]),ISBLANK(Term4_Day_7[[#This Row],[End]])),"",(Term4_Day_7[[#This Row],[End]]-Term4_Day_7[[#This Row],[Start]])*1440)</f>
        <v/>
      </c>
      <c r="AV47" s="105" t="str">
        <f>IF(ISBLANK(Term4_Day_7[[#This Row],[Activity]]),"",IF(_xlfn.XLOOKUP(Term4_Day_7[[#This Row],[Activity]],Types_of_Activity[Type of Activity],Types_of_Activity[Classification])=1,Term4_Day_7[[#This Row],[Elapsed]],0))</f>
        <v/>
      </c>
      <c r="AW47" s="105" t="str">
        <f>IF(ISBLANK(Term4_Day_7[[#This Row],[Activity]]),"",IF(_xlfn.XLOOKUP(Term4_Day_7[[#This Row],[Activity]],Types_of_Activity[Type of Activity],Types_of_Activity[Classification])=2,Term4_Day_7[[#This Row],[Elapsed]],0))</f>
        <v/>
      </c>
      <c r="AX47" s="106"/>
      <c r="AY47" s="135"/>
      <c r="AZ47" s="135"/>
      <c r="BA47" s="102"/>
      <c r="BB47" s="105" t="str">
        <f>IF(OR(ISBLANK(Term4_Day_8[[#This Row],[Start]]),ISBLANK(Term4_Day_8[[#This Row],[End]])),"",(Term4_Day_8[[#This Row],[End]]-Term4_Day_8[[#This Row],[Start]])*1440)</f>
        <v/>
      </c>
      <c r="BC47" s="105" t="str">
        <f>IF(ISBLANK(Term4_Day_8[[#This Row],[Activity]]),"",IF(_xlfn.XLOOKUP(Term4_Day_8[[#This Row],[Activity]],Types_of_Activity[Type of Activity],Types_of_Activity[Classification])=1,Term4_Day_8[[#This Row],[Elapsed]],0))</f>
        <v/>
      </c>
      <c r="BD47" s="105" t="str">
        <f>IF(ISBLANK(Term4_Day_8[[#This Row],[Activity]]),"",IF(_xlfn.XLOOKUP(Term4_Day_8[[#This Row],[Activity]],Types_of_Activity[Type of Activity],Types_of_Activity[Classification])=2,Term4_Day_8[[#This Row],[Elapsed]],0))</f>
        <v/>
      </c>
      <c r="BE47" s="106"/>
      <c r="BF47" s="135"/>
      <c r="BG47" s="135"/>
      <c r="BH47" s="102"/>
      <c r="BI47" s="105" t="str">
        <f>IF(OR(ISBLANK(Term4_Day_9[[#This Row],[Start]]),ISBLANK(Term4_Day_9[[#This Row],[End]])),"",(Term4_Day_9[[#This Row],[End]]-Term4_Day_9[[#This Row],[Start]])*1440)</f>
        <v/>
      </c>
      <c r="BJ47" s="105" t="str">
        <f>IF(ISBLANK(Term4_Day_9[[#This Row],[Activity]]),"",IF(_xlfn.XLOOKUP(Term4_Day_9[[#This Row],[Activity]],Types_of_Activity[Type of Activity],Types_of_Activity[Classification])=1,Term4_Day_9[[#This Row],[Elapsed]],0))</f>
        <v/>
      </c>
      <c r="BK47" s="105" t="str">
        <f>IF(ISBLANK(Term4_Day_9[[#This Row],[Activity]]),"",IF(_xlfn.XLOOKUP(Term4_Day_9[[#This Row],[Activity]],Types_of_Activity[Type of Activity],Types_of_Activity[Classification])=2,Term4_Day_9[[#This Row],[Elapsed]],0))</f>
        <v/>
      </c>
      <c r="BL47" s="106"/>
      <c r="BM47" s="135"/>
      <c r="BN47" s="135"/>
      <c r="BO47" s="102"/>
      <c r="BP47" s="105" t="str">
        <f>IF(OR(ISBLANK(Term4_Day_10[[#This Row],[Start]]),ISBLANK(Term4_Day_10[[#This Row],[End]])),"",(Term4_Day_10[[#This Row],[End]]-Term4_Day_10[[#This Row],[Start]])*1440)</f>
        <v/>
      </c>
      <c r="BQ47" s="105" t="str">
        <f>IF(ISBLANK(Term4_Day_10[[#This Row],[Activity]]),"",IF(_xlfn.XLOOKUP(Term4_Day_10[[#This Row],[Activity]],Types_of_Activity[Type of Activity],Types_of_Activity[Classification])=1,Term4_Day_10[[#This Row],[Elapsed]],0))</f>
        <v/>
      </c>
      <c r="BR47" s="105" t="str">
        <f>IF(ISBLANK(Term4_Day_10[[#This Row],[Activity]]),"",IF(_xlfn.XLOOKUP(Term4_Day_10[[#This Row],[Activity]],Types_of_Activity[Type of Activity],Types_of_Activity[Classification])=2,Term4_Day_10[[#This Row],[Elapsed]],0))</f>
        <v/>
      </c>
      <c r="BS47" s="106"/>
    </row>
    <row r="48" spans="2:71" x14ac:dyDescent="0.3">
      <c r="B48" s="135"/>
      <c r="C48" s="135"/>
      <c r="D48" s="102"/>
      <c r="E48" s="105" t="str">
        <f>IF(OR(ISBLANK(Term4_Day_1[[#This Row],[Start]]),ISBLANK(Term4_Day_1[[#This Row],[End]])),"",(Term4_Day_1[[#This Row],[End]]-Term4_Day_1[[#This Row],[Start]])*1440)</f>
        <v/>
      </c>
      <c r="F48" s="105" t="str">
        <f>IF(ISBLANK(Term4_Day_1[[#This Row],[Activity]]),"",IF(_xlfn.XLOOKUP(Term4_Day_1[[#This Row],[Activity]],Types_of_Activity[Type of Activity],Types_of_Activity[Classification])=1,Term4_Day_1[[#This Row],[Elapsed]],0))</f>
        <v/>
      </c>
      <c r="G48" s="105" t="str">
        <f>IF(ISBLANK(Term4_Day_1[[#This Row],[Activity]]),"",IF(_xlfn.XLOOKUP(Term4_Day_1[[#This Row],[Activity]],Types_of_Activity[Type of Activity],Types_of_Activity[Classification])=2,Term4_Day_1[[#This Row],[Elapsed]],0))</f>
        <v/>
      </c>
      <c r="I48" s="135"/>
      <c r="J48" s="135"/>
      <c r="K48" s="102"/>
      <c r="L48" s="105" t="str">
        <f>IF(OR(ISBLANK(Term4_Day_2[[#This Row],[Start]]),ISBLANK(Term4_Day_2[[#This Row],[End]])),"",(Term4_Day_2[[#This Row],[End]]-Term4_Day_2[[#This Row],[Start]])*1440)</f>
        <v/>
      </c>
      <c r="M48" s="105" t="str">
        <f>IF(ISBLANK(Term4_Day_2[[#This Row],[Activity]]),"",IF(_xlfn.XLOOKUP(Term4_Day_2[[#This Row],[Activity]],Types_of_Activity[Type of Activity],Types_of_Activity[Classification])=1,Term4_Day_2[[#This Row],[Elapsed]],0))</f>
        <v/>
      </c>
      <c r="N48" s="105" t="str">
        <f>IF(ISBLANK(Term4_Day_2[[#This Row],[Activity]]),"",IF(_xlfn.XLOOKUP(Term4_Day_2[[#This Row],[Activity]],Types_of_Activity[Type of Activity],Types_of_Activity[Classification])=2,Term4_Day_2[[#This Row],[Elapsed]],0))</f>
        <v/>
      </c>
      <c r="P48" s="135"/>
      <c r="Q48" s="135"/>
      <c r="R48" s="102"/>
      <c r="S48" s="105" t="str">
        <f>IF(OR(ISBLANK(Term4_Day_3[[#This Row],[Start]]),ISBLANK(Term4_Day_3[[#This Row],[End]])),"",(Term4_Day_3[[#This Row],[End]]-Term4_Day_3[[#This Row],[Start]])*1440)</f>
        <v/>
      </c>
      <c r="T48" s="105" t="str">
        <f>IF(ISBLANK(Term4_Day_3[[#This Row],[Activity]]),"",IF(_xlfn.XLOOKUP(Term4_Day_3[[#This Row],[Activity]],Types_of_Activity[Type of Activity],Types_of_Activity[Classification])=1,Term4_Day_3[[#This Row],[Elapsed]],0))</f>
        <v/>
      </c>
      <c r="U48" s="105" t="str">
        <f>IF(ISBLANK(Term4_Day_3[[#This Row],[Activity]]),"",IF(_xlfn.XLOOKUP(Term4_Day_3[[#This Row],[Activity]],Types_of_Activity[Type of Activity],Types_of_Activity[Classification])=2,Term4_Day_3[[#This Row],[Elapsed]],0))</f>
        <v/>
      </c>
      <c r="W48" s="135"/>
      <c r="X48" s="135"/>
      <c r="Y48" s="102"/>
      <c r="Z48" s="105" t="str">
        <f>IF(OR(ISBLANK(Term4_Day_4[[#This Row],[Start]]),ISBLANK(Term4_Day_4[[#This Row],[End]])),"",(Term4_Day_4[[#This Row],[End]]-Term4_Day_4[[#This Row],[Start]])*1440)</f>
        <v/>
      </c>
      <c r="AA48" s="105" t="str">
        <f>IF(ISBLANK(Term4_Day_4[[#This Row],[Activity]]),"",IF(_xlfn.XLOOKUP(Term4_Day_4[[#This Row],[Activity]],Types_of_Activity[Type of Activity],Types_of_Activity[Classification])=1,Term4_Day_4[[#This Row],[Elapsed]],0))</f>
        <v/>
      </c>
      <c r="AB48" s="105" t="str">
        <f>IF(ISBLANK(Term4_Day_4[[#This Row],[Activity]]),"",IF(_xlfn.XLOOKUP(Term4_Day_4[[#This Row],[Activity]],Types_of_Activity[Type of Activity],Types_of_Activity[Classification])=2,Term4_Day_4[[#This Row],[Elapsed]],0))</f>
        <v/>
      </c>
      <c r="AD48" s="135"/>
      <c r="AE48" s="135"/>
      <c r="AF48" s="102"/>
      <c r="AG48" s="105" t="str">
        <f>IF(OR(ISBLANK(Term4_Day_5[[#This Row],[Start]]),ISBLANK(Term4_Day_5[[#This Row],[End]])),"",(Term4_Day_5[[#This Row],[End]]-Term4_Day_5[[#This Row],[Start]])*1440)</f>
        <v/>
      </c>
      <c r="AH48" s="105" t="str">
        <f>IF(ISBLANK(Term4_Day_5[[#This Row],[Activity]]),"",IF(_xlfn.XLOOKUP(Term4_Day_5[[#This Row],[Activity]],Types_of_Activity[Type of Activity],Types_of_Activity[Classification])=1,Term4_Day_5[[#This Row],[Elapsed]],0))</f>
        <v/>
      </c>
      <c r="AI48" s="105" t="str">
        <f>IF(ISBLANK(Term4_Day_5[[#This Row],[Activity]]),"",IF(_xlfn.XLOOKUP(Term4_Day_5[[#This Row],[Activity]],Types_of_Activity[Type of Activity],Types_of_Activity[Classification])=2,Term4_Day_5[[#This Row],[Elapsed]],0))</f>
        <v/>
      </c>
      <c r="AJ48" s="106"/>
      <c r="AK48" s="135"/>
      <c r="AL48" s="135"/>
      <c r="AM48" s="102"/>
      <c r="AN48" s="105" t="str">
        <f>IF(OR(ISBLANK(Term4_Day_6[[#This Row],[Start]]),ISBLANK(Term4_Day_6[[#This Row],[End]])),"",(Term4_Day_6[[#This Row],[End]]-Term4_Day_6[[#This Row],[Start]])*1440)</f>
        <v/>
      </c>
      <c r="AO48" s="105" t="str">
        <f>IF(ISBLANK(Term4_Day_6[[#This Row],[Activity]]),"",IF(_xlfn.XLOOKUP(Term4_Day_6[[#This Row],[Activity]],Types_of_Activity[Type of Activity],Types_of_Activity[Classification])=1,Term4_Day_6[[#This Row],[Elapsed]],0))</f>
        <v/>
      </c>
      <c r="AP48" s="105" t="str">
        <f>IF(ISBLANK(Term4_Day_6[[#This Row],[Activity]]),"",IF(_xlfn.XLOOKUP(Term4_Day_6[[#This Row],[Activity]],Types_of_Activity[Type of Activity],Types_of_Activity[Classification])=2,Term4_Day_6[[#This Row],[Elapsed]],0))</f>
        <v/>
      </c>
      <c r="AQ48" s="106"/>
      <c r="AR48" s="135"/>
      <c r="AS48" s="135"/>
      <c r="AT48" s="102"/>
      <c r="AU48" s="105" t="str">
        <f>IF(OR(ISBLANK(Term4_Day_7[[#This Row],[Start]]),ISBLANK(Term4_Day_7[[#This Row],[End]])),"",(Term4_Day_7[[#This Row],[End]]-Term4_Day_7[[#This Row],[Start]])*1440)</f>
        <v/>
      </c>
      <c r="AV48" s="105" t="str">
        <f>IF(ISBLANK(Term4_Day_7[[#This Row],[Activity]]),"",IF(_xlfn.XLOOKUP(Term4_Day_7[[#This Row],[Activity]],Types_of_Activity[Type of Activity],Types_of_Activity[Classification])=1,Term4_Day_7[[#This Row],[Elapsed]],0))</f>
        <v/>
      </c>
      <c r="AW48" s="105" t="str">
        <f>IF(ISBLANK(Term4_Day_7[[#This Row],[Activity]]),"",IF(_xlfn.XLOOKUP(Term4_Day_7[[#This Row],[Activity]],Types_of_Activity[Type of Activity],Types_of_Activity[Classification])=2,Term4_Day_7[[#This Row],[Elapsed]],0))</f>
        <v/>
      </c>
      <c r="AX48" s="106"/>
      <c r="AY48" s="135"/>
      <c r="AZ48" s="135"/>
      <c r="BA48" s="102"/>
      <c r="BB48" s="105" t="str">
        <f>IF(OR(ISBLANK(Term4_Day_8[[#This Row],[Start]]),ISBLANK(Term4_Day_8[[#This Row],[End]])),"",(Term4_Day_8[[#This Row],[End]]-Term4_Day_8[[#This Row],[Start]])*1440)</f>
        <v/>
      </c>
      <c r="BC48" s="105" t="str">
        <f>IF(ISBLANK(Term4_Day_8[[#This Row],[Activity]]),"",IF(_xlfn.XLOOKUP(Term4_Day_8[[#This Row],[Activity]],Types_of_Activity[Type of Activity],Types_of_Activity[Classification])=1,Term4_Day_8[[#This Row],[Elapsed]],0))</f>
        <v/>
      </c>
      <c r="BD48" s="105" t="str">
        <f>IF(ISBLANK(Term4_Day_8[[#This Row],[Activity]]),"",IF(_xlfn.XLOOKUP(Term4_Day_8[[#This Row],[Activity]],Types_of_Activity[Type of Activity],Types_of_Activity[Classification])=2,Term4_Day_8[[#This Row],[Elapsed]],0))</f>
        <v/>
      </c>
      <c r="BE48" s="106"/>
      <c r="BF48" s="135"/>
      <c r="BG48" s="135"/>
      <c r="BH48" s="102"/>
      <c r="BI48" s="105" t="str">
        <f>IF(OR(ISBLANK(Term4_Day_9[[#This Row],[Start]]),ISBLANK(Term4_Day_9[[#This Row],[End]])),"",(Term4_Day_9[[#This Row],[End]]-Term4_Day_9[[#This Row],[Start]])*1440)</f>
        <v/>
      </c>
      <c r="BJ48" s="105" t="str">
        <f>IF(ISBLANK(Term4_Day_9[[#This Row],[Activity]]),"",IF(_xlfn.XLOOKUP(Term4_Day_9[[#This Row],[Activity]],Types_of_Activity[Type of Activity],Types_of_Activity[Classification])=1,Term4_Day_9[[#This Row],[Elapsed]],0))</f>
        <v/>
      </c>
      <c r="BK48" s="105" t="str">
        <f>IF(ISBLANK(Term4_Day_9[[#This Row],[Activity]]),"",IF(_xlfn.XLOOKUP(Term4_Day_9[[#This Row],[Activity]],Types_of_Activity[Type of Activity],Types_of_Activity[Classification])=2,Term4_Day_9[[#This Row],[Elapsed]],0))</f>
        <v/>
      </c>
      <c r="BL48" s="106"/>
      <c r="BM48" s="135"/>
      <c r="BN48" s="135"/>
      <c r="BO48" s="102"/>
      <c r="BP48" s="105" t="str">
        <f>IF(OR(ISBLANK(Term4_Day_10[[#This Row],[Start]]),ISBLANK(Term4_Day_10[[#This Row],[End]])),"",(Term4_Day_10[[#This Row],[End]]-Term4_Day_10[[#This Row],[Start]])*1440)</f>
        <v/>
      </c>
      <c r="BQ48" s="105" t="str">
        <f>IF(ISBLANK(Term4_Day_10[[#This Row],[Activity]]),"",IF(_xlfn.XLOOKUP(Term4_Day_10[[#This Row],[Activity]],Types_of_Activity[Type of Activity],Types_of_Activity[Classification])=1,Term4_Day_10[[#This Row],[Elapsed]],0))</f>
        <v/>
      </c>
      <c r="BR48" s="105" t="str">
        <f>IF(ISBLANK(Term4_Day_10[[#This Row],[Activity]]),"",IF(_xlfn.XLOOKUP(Term4_Day_10[[#This Row],[Activity]],Types_of_Activity[Type of Activity],Types_of_Activity[Classification])=2,Term4_Day_10[[#This Row],[Elapsed]],0))</f>
        <v/>
      </c>
      <c r="BS48" s="106"/>
    </row>
    <row r="49" spans="2:71" x14ac:dyDescent="0.3">
      <c r="B49" s="135"/>
      <c r="C49" s="135"/>
      <c r="D49" s="102"/>
      <c r="E49" s="105" t="str">
        <f>IF(OR(ISBLANK(Term4_Day_1[[#This Row],[Start]]),ISBLANK(Term4_Day_1[[#This Row],[End]])),"",(Term4_Day_1[[#This Row],[End]]-Term4_Day_1[[#This Row],[Start]])*1440)</f>
        <v/>
      </c>
      <c r="F49" s="105" t="str">
        <f>IF(ISBLANK(Term4_Day_1[[#This Row],[Activity]]),"",IF(_xlfn.XLOOKUP(Term4_Day_1[[#This Row],[Activity]],Types_of_Activity[Type of Activity],Types_of_Activity[Classification])=1,Term4_Day_1[[#This Row],[Elapsed]],0))</f>
        <v/>
      </c>
      <c r="G49" s="105" t="str">
        <f>IF(ISBLANK(Term4_Day_1[[#This Row],[Activity]]),"",IF(_xlfn.XLOOKUP(Term4_Day_1[[#This Row],[Activity]],Types_of_Activity[Type of Activity],Types_of_Activity[Classification])=2,Term4_Day_1[[#This Row],[Elapsed]],0))</f>
        <v/>
      </c>
      <c r="I49" s="135"/>
      <c r="J49" s="135"/>
      <c r="K49" s="102"/>
      <c r="L49" s="105" t="str">
        <f>IF(OR(ISBLANK(Term4_Day_2[[#This Row],[Start]]),ISBLANK(Term4_Day_2[[#This Row],[End]])),"",(Term4_Day_2[[#This Row],[End]]-Term4_Day_2[[#This Row],[Start]])*1440)</f>
        <v/>
      </c>
      <c r="M49" s="105" t="str">
        <f>IF(ISBLANK(Term4_Day_2[[#This Row],[Activity]]),"",IF(_xlfn.XLOOKUP(Term4_Day_2[[#This Row],[Activity]],Types_of_Activity[Type of Activity],Types_of_Activity[Classification])=1,Term4_Day_2[[#This Row],[Elapsed]],0))</f>
        <v/>
      </c>
      <c r="N49" s="105" t="str">
        <f>IF(ISBLANK(Term4_Day_2[[#This Row],[Activity]]),"",IF(_xlfn.XLOOKUP(Term4_Day_2[[#This Row],[Activity]],Types_of_Activity[Type of Activity],Types_of_Activity[Classification])=2,Term4_Day_2[[#This Row],[Elapsed]],0))</f>
        <v/>
      </c>
      <c r="P49" s="135"/>
      <c r="Q49" s="135"/>
      <c r="R49" s="102"/>
      <c r="S49" s="105" t="str">
        <f>IF(OR(ISBLANK(Term4_Day_3[[#This Row],[Start]]),ISBLANK(Term4_Day_3[[#This Row],[End]])),"",(Term4_Day_3[[#This Row],[End]]-Term4_Day_3[[#This Row],[Start]])*1440)</f>
        <v/>
      </c>
      <c r="T49" s="105" t="str">
        <f>IF(ISBLANK(Term4_Day_3[[#This Row],[Activity]]),"",IF(_xlfn.XLOOKUP(Term4_Day_3[[#This Row],[Activity]],Types_of_Activity[Type of Activity],Types_of_Activity[Classification])=1,Term4_Day_3[[#This Row],[Elapsed]],0))</f>
        <v/>
      </c>
      <c r="U49" s="105" t="str">
        <f>IF(ISBLANK(Term4_Day_3[[#This Row],[Activity]]),"",IF(_xlfn.XLOOKUP(Term4_Day_3[[#This Row],[Activity]],Types_of_Activity[Type of Activity],Types_of_Activity[Classification])=2,Term4_Day_3[[#This Row],[Elapsed]],0))</f>
        <v/>
      </c>
      <c r="W49" s="135"/>
      <c r="X49" s="135"/>
      <c r="Y49" s="102"/>
      <c r="Z49" s="105" t="str">
        <f>IF(OR(ISBLANK(Term4_Day_4[[#This Row],[Start]]),ISBLANK(Term4_Day_4[[#This Row],[End]])),"",(Term4_Day_4[[#This Row],[End]]-Term4_Day_4[[#This Row],[Start]])*1440)</f>
        <v/>
      </c>
      <c r="AA49" s="105" t="str">
        <f>IF(ISBLANK(Term4_Day_4[[#This Row],[Activity]]),"",IF(_xlfn.XLOOKUP(Term4_Day_4[[#This Row],[Activity]],Types_of_Activity[Type of Activity],Types_of_Activity[Classification])=1,Term4_Day_4[[#This Row],[Elapsed]],0))</f>
        <v/>
      </c>
      <c r="AB49" s="105" t="str">
        <f>IF(ISBLANK(Term4_Day_4[[#This Row],[Activity]]),"",IF(_xlfn.XLOOKUP(Term4_Day_4[[#This Row],[Activity]],Types_of_Activity[Type of Activity],Types_of_Activity[Classification])=2,Term4_Day_4[[#This Row],[Elapsed]],0))</f>
        <v/>
      </c>
      <c r="AD49" s="135"/>
      <c r="AE49" s="135"/>
      <c r="AF49" s="102"/>
      <c r="AG49" s="105" t="str">
        <f>IF(OR(ISBLANK(Term4_Day_5[[#This Row],[Start]]),ISBLANK(Term4_Day_5[[#This Row],[End]])),"",(Term4_Day_5[[#This Row],[End]]-Term4_Day_5[[#This Row],[Start]])*1440)</f>
        <v/>
      </c>
      <c r="AH49" s="105" t="str">
        <f>IF(ISBLANK(Term4_Day_5[[#This Row],[Activity]]),"",IF(_xlfn.XLOOKUP(Term4_Day_5[[#This Row],[Activity]],Types_of_Activity[Type of Activity],Types_of_Activity[Classification])=1,Term4_Day_5[[#This Row],[Elapsed]],0))</f>
        <v/>
      </c>
      <c r="AI49" s="105" t="str">
        <f>IF(ISBLANK(Term4_Day_5[[#This Row],[Activity]]),"",IF(_xlfn.XLOOKUP(Term4_Day_5[[#This Row],[Activity]],Types_of_Activity[Type of Activity],Types_of_Activity[Classification])=2,Term4_Day_5[[#This Row],[Elapsed]],0))</f>
        <v/>
      </c>
      <c r="AJ49" s="106"/>
      <c r="AK49" s="135"/>
      <c r="AL49" s="135"/>
      <c r="AM49" s="102"/>
      <c r="AN49" s="105" t="str">
        <f>IF(OR(ISBLANK(Term4_Day_6[[#This Row],[Start]]),ISBLANK(Term4_Day_6[[#This Row],[End]])),"",(Term4_Day_6[[#This Row],[End]]-Term4_Day_6[[#This Row],[Start]])*1440)</f>
        <v/>
      </c>
      <c r="AO49" s="105" t="str">
        <f>IF(ISBLANK(Term4_Day_6[[#This Row],[Activity]]),"",IF(_xlfn.XLOOKUP(Term4_Day_6[[#This Row],[Activity]],Types_of_Activity[Type of Activity],Types_of_Activity[Classification])=1,Term4_Day_6[[#This Row],[Elapsed]],0))</f>
        <v/>
      </c>
      <c r="AP49" s="105" t="str">
        <f>IF(ISBLANK(Term4_Day_6[[#This Row],[Activity]]),"",IF(_xlfn.XLOOKUP(Term4_Day_6[[#This Row],[Activity]],Types_of_Activity[Type of Activity],Types_of_Activity[Classification])=2,Term4_Day_6[[#This Row],[Elapsed]],0))</f>
        <v/>
      </c>
      <c r="AQ49" s="106"/>
      <c r="AR49" s="135"/>
      <c r="AS49" s="135"/>
      <c r="AT49" s="102"/>
      <c r="AU49" s="105" t="str">
        <f>IF(OR(ISBLANK(Term4_Day_7[[#This Row],[Start]]),ISBLANK(Term4_Day_7[[#This Row],[End]])),"",(Term4_Day_7[[#This Row],[End]]-Term4_Day_7[[#This Row],[Start]])*1440)</f>
        <v/>
      </c>
      <c r="AV49" s="105" t="str">
        <f>IF(ISBLANK(Term4_Day_7[[#This Row],[Activity]]),"",IF(_xlfn.XLOOKUP(Term4_Day_7[[#This Row],[Activity]],Types_of_Activity[Type of Activity],Types_of_Activity[Classification])=1,Term4_Day_7[[#This Row],[Elapsed]],0))</f>
        <v/>
      </c>
      <c r="AW49" s="105" t="str">
        <f>IF(ISBLANK(Term4_Day_7[[#This Row],[Activity]]),"",IF(_xlfn.XLOOKUP(Term4_Day_7[[#This Row],[Activity]],Types_of_Activity[Type of Activity],Types_of_Activity[Classification])=2,Term4_Day_7[[#This Row],[Elapsed]],0))</f>
        <v/>
      </c>
      <c r="AX49" s="106"/>
      <c r="AY49" s="135"/>
      <c r="AZ49" s="135"/>
      <c r="BA49" s="102"/>
      <c r="BB49" s="105" t="str">
        <f>IF(OR(ISBLANK(Term4_Day_8[[#This Row],[Start]]),ISBLANK(Term4_Day_8[[#This Row],[End]])),"",(Term4_Day_8[[#This Row],[End]]-Term4_Day_8[[#This Row],[Start]])*1440)</f>
        <v/>
      </c>
      <c r="BC49" s="105" t="str">
        <f>IF(ISBLANK(Term4_Day_8[[#This Row],[Activity]]),"",IF(_xlfn.XLOOKUP(Term4_Day_8[[#This Row],[Activity]],Types_of_Activity[Type of Activity],Types_of_Activity[Classification])=1,Term4_Day_8[[#This Row],[Elapsed]],0))</f>
        <v/>
      </c>
      <c r="BD49" s="105" t="str">
        <f>IF(ISBLANK(Term4_Day_8[[#This Row],[Activity]]),"",IF(_xlfn.XLOOKUP(Term4_Day_8[[#This Row],[Activity]],Types_of_Activity[Type of Activity],Types_of_Activity[Classification])=2,Term4_Day_8[[#This Row],[Elapsed]],0))</f>
        <v/>
      </c>
      <c r="BE49" s="106"/>
      <c r="BF49" s="135"/>
      <c r="BG49" s="135"/>
      <c r="BH49" s="102"/>
      <c r="BI49" s="105" t="str">
        <f>IF(OR(ISBLANK(Term4_Day_9[[#This Row],[Start]]),ISBLANK(Term4_Day_9[[#This Row],[End]])),"",(Term4_Day_9[[#This Row],[End]]-Term4_Day_9[[#This Row],[Start]])*1440)</f>
        <v/>
      </c>
      <c r="BJ49" s="105" t="str">
        <f>IF(ISBLANK(Term4_Day_9[[#This Row],[Activity]]),"",IF(_xlfn.XLOOKUP(Term4_Day_9[[#This Row],[Activity]],Types_of_Activity[Type of Activity],Types_of_Activity[Classification])=1,Term4_Day_9[[#This Row],[Elapsed]],0))</f>
        <v/>
      </c>
      <c r="BK49" s="105" t="str">
        <f>IF(ISBLANK(Term4_Day_9[[#This Row],[Activity]]),"",IF(_xlfn.XLOOKUP(Term4_Day_9[[#This Row],[Activity]],Types_of_Activity[Type of Activity],Types_of_Activity[Classification])=2,Term4_Day_9[[#This Row],[Elapsed]],0))</f>
        <v/>
      </c>
      <c r="BL49" s="106"/>
      <c r="BM49" s="135"/>
      <c r="BN49" s="135"/>
      <c r="BO49" s="102"/>
      <c r="BP49" s="105" t="str">
        <f>IF(OR(ISBLANK(Term4_Day_10[[#This Row],[Start]]),ISBLANK(Term4_Day_10[[#This Row],[End]])),"",(Term4_Day_10[[#This Row],[End]]-Term4_Day_10[[#This Row],[Start]])*1440)</f>
        <v/>
      </c>
      <c r="BQ49" s="105" t="str">
        <f>IF(ISBLANK(Term4_Day_10[[#This Row],[Activity]]),"",IF(_xlfn.XLOOKUP(Term4_Day_10[[#This Row],[Activity]],Types_of_Activity[Type of Activity],Types_of_Activity[Classification])=1,Term4_Day_10[[#This Row],[Elapsed]],0))</f>
        <v/>
      </c>
      <c r="BR49" s="105" t="str">
        <f>IF(ISBLANK(Term4_Day_10[[#This Row],[Activity]]),"",IF(_xlfn.XLOOKUP(Term4_Day_10[[#This Row],[Activity]],Types_of_Activity[Type of Activity],Types_of_Activity[Classification])=2,Term4_Day_10[[#This Row],[Elapsed]],0))</f>
        <v/>
      </c>
      <c r="BS49" s="106"/>
    </row>
    <row r="50" spans="2:71" x14ac:dyDescent="0.3">
      <c r="B50" s="135"/>
      <c r="C50" s="135"/>
      <c r="D50" s="102"/>
      <c r="E50" s="105" t="str">
        <f>IF(OR(ISBLANK(Term4_Day_1[[#This Row],[Start]]),ISBLANK(Term4_Day_1[[#This Row],[End]])),"",(Term4_Day_1[[#This Row],[End]]-Term4_Day_1[[#This Row],[Start]])*1440)</f>
        <v/>
      </c>
      <c r="F50" s="105" t="str">
        <f>IF(ISBLANK(Term4_Day_1[[#This Row],[Activity]]),"",IF(_xlfn.XLOOKUP(Term4_Day_1[[#This Row],[Activity]],Types_of_Activity[Type of Activity],Types_of_Activity[Classification])=1,Term4_Day_1[[#This Row],[Elapsed]],0))</f>
        <v/>
      </c>
      <c r="G50" s="105" t="str">
        <f>IF(ISBLANK(Term4_Day_1[[#This Row],[Activity]]),"",IF(_xlfn.XLOOKUP(Term4_Day_1[[#This Row],[Activity]],Types_of_Activity[Type of Activity],Types_of_Activity[Classification])=2,Term4_Day_1[[#This Row],[Elapsed]],0))</f>
        <v/>
      </c>
      <c r="I50" s="135"/>
      <c r="J50" s="135"/>
      <c r="K50" s="102"/>
      <c r="L50" s="105" t="str">
        <f>IF(OR(ISBLANK(Term4_Day_2[[#This Row],[Start]]),ISBLANK(Term4_Day_2[[#This Row],[End]])),"",(Term4_Day_2[[#This Row],[End]]-Term4_Day_2[[#This Row],[Start]])*1440)</f>
        <v/>
      </c>
      <c r="M50" s="105" t="str">
        <f>IF(ISBLANK(Term4_Day_2[[#This Row],[Activity]]),"",IF(_xlfn.XLOOKUP(Term4_Day_2[[#This Row],[Activity]],Types_of_Activity[Type of Activity],Types_of_Activity[Classification])=1,Term4_Day_2[[#This Row],[Elapsed]],0))</f>
        <v/>
      </c>
      <c r="N50" s="105" t="str">
        <f>IF(ISBLANK(Term4_Day_2[[#This Row],[Activity]]),"",IF(_xlfn.XLOOKUP(Term4_Day_2[[#This Row],[Activity]],Types_of_Activity[Type of Activity],Types_of_Activity[Classification])=2,Term4_Day_2[[#This Row],[Elapsed]],0))</f>
        <v/>
      </c>
      <c r="P50" s="135"/>
      <c r="Q50" s="135"/>
      <c r="R50" s="102"/>
      <c r="S50" s="105" t="str">
        <f>IF(OR(ISBLANK(Term4_Day_3[[#This Row],[Start]]),ISBLANK(Term4_Day_3[[#This Row],[End]])),"",(Term4_Day_3[[#This Row],[End]]-Term4_Day_3[[#This Row],[Start]])*1440)</f>
        <v/>
      </c>
      <c r="T50" s="105" t="str">
        <f>IF(ISBLANK(Term4_Day_3[[#This Row],[Activity]]),"",IF(_xlfn.XLOOKUP(Term4_Day_3[[#This Row],[Activity]],Types_of_Activity[Type of Activity],Types_of_Activity[Classification])=1,Term4_Day_3[[#This Row],[Elapsed]],0))</f>
        <v/>
      </c>
      <c r="U50" s="105" t="str">
        <f>IF(ISBLANK(Term4_Day_3[[#This Row],[Activity]]),"",IF(_xlfn.XLOOKUP(Term4_Day_3[[#This Row],[Activity]],Types_of_Activity[Type of Activity],Types_of_Activity[Classification])=2,Term4_Day_3[[#This Row],[Elapsed]],0))</f>
        <v/>
      </c>
      <c r="W50" s="135"/>
      <c r="X50" s="135"/>
      <c r="Y50" s="102"/>
      <c r="Z50" s="105" t="str">
        <f>IF(OR(ISBLANK(Term4_Day_4[[#This Row],[Start]]),ISBLANK(Term4_Day_4[[#This Row],[End]])),"",(Term4_Day_4[[#This Row],[End]]-Term4_Day_4[[#This Row],[Start]])*1440)</f>
        <v/>
      </c>
      <c r="AA50" s="105" t="str">
        <f>IF(ISBLANK(Term4_Day_4[[#This Row],[Activity]]),"",IF(_xlfn.XLOOKUP(Term4_Day_4[[#This Row],[Activity]],Types_of_Activity[Type of Activity],Types_of_Activity[Classification])=1,Term4_Day_4[[#This Row],[Elapsed]],0))</f>
        <v/>
      </c>
      <c r="AB50" s="105" t="str">
        <f>IF(ISBLANK(Term4_Day_4[[#This Row],[Activity]]),"",IF(_xlfn.XLOOKUP(Term4_Day_4[[#This Row],[Activity]],Types_of_Activity[Type of Activity],Types_of_Activity[Classification])=2,Term4_Day_4[[#This Row],[Elapsed]],0))</f>
        <v/>
      </c>
      <c r="AD50" s="135"/>
      <c r="AE50" s="135"/>
      <c r="AF50" s="102"/>
      <c r="AG50" s="105" t="str">
        <f>IF(OR(ISBLANK(Term4_Day_5[[#This Row],[Start]]),ISBLANK(Term4_Day_5[[#This Row],[End]])),"",(Term4_Day_5[[#This Row],[End]]-Term4_Day_5[[#This Row],[Start]])*1440)</f>
        <v/>
      </c>
      <c r="AH50" s="105" t="str">
        <f>IF(ISBLANK(Term4_Day_5[[#This Row],[Activity]]),"",IF(_xlfn.XLOOKUP(Term4_Day_5[[#This Row],[Activity]],Types_of_Activity[Type of Activity],Types_of_Activity[Classification])=1,Term4_Day_5[[#This Row],[Elapsed]],0))</f>
        <v/>
      </c>
      <c r="AI50" s="105" t="str">
        <f>IF(ISBLANK(Term4_Day_5[[#This Row],[Activity]]),"",IF(_xlfn.XLOOKUP(Term4_Day_5[[#This Row],[Activity]],Types_of_Activity[Type of Activity],Types_of_Activity[Classification])=2,Term4_Day_5[[#This Row],[Elapsed]],0))</f>
        <v/>
      </c>
      <c r="AJ50" s="106"/>
      <c r="AK50" s="135"/>
      <c r="AL50" s="135"/>
      <c r="AM50" s="102"/>
      <c r="AN50" s="105" t="str">
        <f>IF(OR(ISBLANK(Term4_Day_6[[#This Row],[Start]]),ISBLANK(Term4_Day_6[[#This Row],[End]])),"",(Term4_Day_6[[#This Row],[End]]-Term4_Day_6[[#This Row],[Start]])*1440)</f>
        <v/>
      </c>
      <c r="AO50" s="105" t="str">
        <f>IF(ISBLANK(Term4_Day_6[[#This Row],[Activity]]),"",IF(_xlfn.XLOOKUP(Term4_Day_6[[#This Row],[Activity]],Types_of_Activity[Type of Activity],Types_of_Activity[Classification])=1,Term4_Day_6[[#This Row],[Elapsed]],0))</f>
        <v/>
      </c>
      <c r="AP50" s="105" t="str">
        <f>IF(ISBLANK(Term4_Day_6[[#This Row],[Activity]]),"",IF(_xlfn.XLOOKUP(Term4_Day_6[[#This Row],[Activity]],Types_of_Activity[Type of Activity],Types_of_Activity[Classification])=2,Term4_Day_6[[#This Row],[Elapsed]],0))</f>
        <v/>
      </c>
      <c r="AQ50" s="106"/>
      <c r="AR50" s="135"/>
      <c r="AS50" s="135"/>
      <c r="AT50" s="102"/>
      <c r="AU50" s="105" t="str">
        <f>IF(OR(ISBLANK(Term4_Day_7[[#This Row],[Start]]),ISBLANK(Term4_Day_7[[#This Row],[End]])),"",(Term4_Day_7[[#This Row],[End]]-Term4_Day_7[[#This Row],[Start]])*1440)</f>
        <v/>
      </c>
      <c r="AV50" s="105" t="str">
        <f>IF(ISBLANK(Term4_Day_7[[#This Row],[Activity]]),"",IF(_xlfn.XLOOKUP(Term4_Day_7[[#This Row],[Activity]],Types_of_Activity[Type of Activity],Types_of_Activity[Classification])=1,Term4_Day_7[[#This Row],[Elapsed]],0))</f>
        <v/>
      </c>
      <c r="AW50" s="105" t="str">
        <f>IF(ISBLANK(Term4_Day_7[[#This Row],[Activity]]),"",IF(_xlfn.XLOOKUP(Term4_Day_7[[#This Row],[Activity]],Types_of_Activity[Type of Activity],Types_of_Activity[Classification])=2,Term4_Day_7[[#This Row],[Elapsed]],0))</f>
        <v/>
      </c>
      <c r="AX50" s="106"/>
      <c r="AY50" s="135"/>
      <c r="AZ50" s="135"/>
      <c r="BA50" s="102"/>
      <c r="BB50" s="105" t="str">
        <f>IF(OR(ISBLANK(Term4_Day_8[[#This Row],[Start]]),ISBLANK(Term4_Day_8[[#This Row],[End]])),"",(Term4_Day_8[[#This Row],[End]]-Term4_Day_8[[#This Row],[Start]])*1440)</f>
        <v/>
      </c>
      <c r="BC50" s="105" t="str">
        <f>IF(ISBLANK(Term4_Day_8[[#This Row],[Activity]]),"",IF(_xlfn.XLOOKUP(Term4_Day_8[[#This Row],[Activity]],Types_of_Activity[Type of Activity],Types_of_Activity[Classification])=1,Term4_Day_8[[#This Row],[Elapsed]],0))</f>
        <v/>
      </c>
      <c r="BD50" s="105" t="str">
        <f>IF(ISBLANK(Term4_Day_8[[#This Row],[Activity]]),"",IF(_xlfn.XLOOKUP(Term4_Day_8[[#This Row],[Activity]],Types_of_Activity[Type of Activity],Types_of_Activity[Classification])=2,Term4_Day_8[[#This Row],[Elapsed]],0))</f>
        <v/>
      </c>
      <c r="BE50" s="106"/>
      <c r="BF50" s="135"/>
      <c r="BG50" s="135"/>
      <c r="BH50" s="102"/>
      <c r="BI50" s="105" t="str">
        <f>IF(OR(ISBLANK(Term4_Day_9[[#This Row],[Start]]),ISBLANK(Term4_Day_9[[#This Row],[End]])),"",(Term4_Day_9[[#This Row],[End]]-Term4_Day_9[[#This Row],[Start]])*1440)</f>
        <v/>
      </c>
      <c r="BJ50" s="105" t="str">
        <f>IF(ISBLANK(Term4_Day_9[[#This Row],[Activity]]),"",IF(_xlfn.XLOOKUP(Term4_Day_9[[#This Row],[Activity]],Types_of_Activity[Type of Activity],Types_of_Activity[Classification])=1,Term4_Day_9[[#This Row],[Elapsed]],0))</f>
        <v/>
      </c>
      <c r="BK50" s="105" t="str">
        <f>IF(ISBLANK(Term4_Day_9[[#This Row],[Activity]]),"",IF(_xlfn.XLOOKUP(Term4_Day_9[[#This Row],[Activity]],Types_of_Activity[Type of Activity],Types_of_Activity[Classification])=2,Term4_Day_9[[#This Row],[Elapsed]],0))</f>
        <v/>
      </c>
      <c r="BL50" s="106"/>
      <c r="BM50" s="135"/>
      <c r="BN50" s="135"/>
      <c r="BO50" s="102"/>
      <c r="BP50" s="105" t="str">
        <f>IF(OR(ISBLANK(Term4_Day_10[[#This Row],[Start]]),ISBLANK(Term4_Day_10[[#This Row],[End]])),"",(Term4_Day_10[[#This Row],[End]]-Term4_Day_10[[#This Row],[Start]])*1440)</f>
        <v/>
      </c>
      <c r="BQ50" s="105" t="str">
        <f>IF(ISBLANK(Term4_Day_10[[#This Row],[Activity]]),"",IF(_xlfn.XLOOKUP(Term4_Day_10[[#This Row],[Activity]],Types_of_Activity[Type of Activity],Types_of_Activity[Classification])=1,Term4_Day_10[[#This Row],[Elapsed]],0))</f>
        <v/>
      </c>
      <c r="BR50" s="105" t="str">
        <f>IF(ISBLANK(Term4_Day_10[[#This Row],[Activity]]),"",IF(_xlfn.XLOOKUP(Term4_Day_10[[#This Row],[Activity]],Types_of_Activity[Type of Activity],Types_of_Activity[Classification])=2,Term4_Day_10[[#This Row],[Elapsed]],0))</f>
        <v/>
      </c>
      <c r="BS50" s="106"/>
    </row>
    <row r="55" spans="2:71" ht="30.6" x14ac:dyDescent="0.55000000000000004">
      <c r="B55" s="104" t="s">
        <v>22</v>
      </c>
      <c r="F55" s="105"/>
      <c r="G55" s="105"/>
      <c r="H55"/>
      <c r="I55" s="104" t="s">
        <v>23</v>
      </c>
      <c r="M55" s="105"/>
      <c r="N55" s="105"/>
      <c r="P55" s="104" t="s">
        <v>24</v>
      </c>
      <c r="S55" s="105"/>
      <c r="T55" s="105"/>
      <c r="W55" s="104" t="s">
        <v>4108</v>
      </c>
      <c r="AA55" s="105"/>
      <c r="AB55" s="105"/>
      <c r="AD55" s="104" t="s">
        <v>4109</v>
      </c>
      <c r="AH55" s="105"/>
      <c r="AI55" s="105"/>
      <c r="AK55" s="104" t="s">
        <v>4110</v>
      </c>
      <c r="AO55" s="105"/>
      <c r="AP55" s="105"/>
    </row>
    <row r="56" spans="2:71" ht="28.8" x14ac:dyDescent="0.3">
      <c r="B56" s="119" t="s">
        <v>16</v>
      </c>
      <c r="C56" s="119" t="s">
        <v>17</v>
      </c>
      <c r="D56" s="119" t="s">
        <v>19</v>
      </c>
      <c r="E56" s="119" t="s">
        <v>18</v>
      </c>
      <c r="F56" s="119" t="s">
        <v>20</v>
      </c>
      <c r="G56" s="120" t="s">
        <v>4075</v>
      </c>
      <c r="H56"/>
      <c r="I56" s="119" t="s">
        <v>16</v>
      </c>
      <c r="J56" s="119" t="s">
        <v>17</v>
      </c>
      <c r="K56" s="119" t="s">
        <v>19</v>
      </c>
      <c r="L56" s="119" t="s">
        <v>18</v>
      </c>
      <c r="M56" s="119" t="s">
        <v>20</v>
      </c>
      <c r="N56" s="120" t="s">
        <v>4075</v>
      </c>
      <c r="O56"/>
      <c r="P56" s="119" t="s">
        <v>16</v>
      </c>
      <c r="Q56" s="119" t="s">
        <v>17</v>
      </c>
      <c r="R56" s="119" t="s">
        <v>19</v>
      </c>
      <c r="S56" s="119" t="s">
        <v>18</v>
      </c>
      <c r="T56" s="119" t="s">
        <v>20</v>
      </c>
      <c r="U56" s="120" t="s">
        <v>4075</v>
      </c>
      <c r="W56" s="119" t="s">
        <v>16</v>
      </c>
      <c r="X56" s="119" t="s">
        <v>17</v>
      </c>
      <c r="Y56" s="119" t="s">
        <v>19</v>
      </c>
      <c r="Z56" s="119" t="s">
        <v>18</v>
      </c>
      <c r="AA56" s="119" t="s">
        <v>20</v>
      </c>
      <c r="AB56" s="120" t="s">
        <v>4075</v>
      </c>
      <c r="AD56" s="119" t="s">
        <v>16</v>
      </c>
      <c r="AE56" s="119" t="s">
        <v>17</v>
      </c>
      <c r="AF56" s="119" t="s">
        <v>19</v>
      </c>
      <c r="AG56" s="119" t="s">
        <v>18</v>
      </c>
      <c r="AH56" s="119" t="s">
        <v>20</v>
      </c>
      <c r="AI56" s="120" t="s">
        <v>4075</v>
      </c>
      <c r="AK56" s="119" t="s">
        <v>16</v>
      </c>
      <c r="AL56" s="119" t="s">
        <v>17</v>
      </c>
      <c r="AM56" s="119" t="s">
        <v>19</v>
      </c>
      <c r="AN56" s="119" t="s">
        <v>18</v>
      </c>
      <c r="AO56" s="119" t="s">
        <v>20</v>
      </c>
      <c r="AP56" s="120" t="s">
        <v>4075</v>
      </c>
    </row>
    <row r="57" spans="2:71" x14ac:dyDescent="0.3">
      <c r="B57" s="135"/>
      <c r="C57" s="135"/>
      <c r="D57" s="102"/>
      <c r="E57" s="105" t="str">
        <f>IF(OR(ISBLANK(Term4_Early_Dismissal_1[[#This Row],[Start]]),ISBLANK(Term4_Early_Dismissal_1[[#This Row],[End]])),"",(Term4_Early_Dismissal_1[[#This Row],[End]]-Term4_Early_Dismissal_1[[#This Row],[Start]])*1440)</f>
        <v/>
      </c>
      <c r="F57" s="105" t="str">
        <f>IF(ISBLANK(Term4_Early_Dismissal_1[[#This Row],[Activity]]),"",IF(_xlfn.XLOOKUP(Term4_Early_Dismissal_1[[#This Row],[Activity]],Types_of_Activity[Type of Activity],Types_of_Activity[Classification])=1,Term4_Early_Dismissal_1[[#This Row],[Elapsed]],0))</f>
        <v/>
      </c>
      <c r="G57" s="105" t="str">
        <f>IF(ISBLANK(Term4_Early_Dismissal_1[[#This Row],[Activity]]),"",IF(_xlfn.XLOOKUP(Term4_Early_Dismissal_1[[#This Row],[Activity]],Types_of_Activity[Type of Activity],Types_of_Activity[Classification])=2,Term4_Early_Dismissal_1[[#This Row],[Elapsed]],0))</f>
        <v/>
      </c>
      <c r="H57"/>
      <c r="I57" s="135"/>
      <c r="J57" s="135"/>
      <c r="K57" s="102"/>
      <c r="L57" s="105" t="str">
        <f>IF(OR(ISBLANK(Term4_Early_Dismissal_2[[#This Row],[Start]]),ISBLANK(Term4_Early_Dismissal_2[[#This Row],[End]])),"",(Term4_Early_Dismissal_2[[#This Row],[End]]-Term4_Early_Dismissal_2[[#This Row],[Start]])*1440)</f>
        <v/>
      </c>
      <c r="M57" s="105" t="str">
        <f>IF(ISBLANK(Term4_Early_Dismissal_2[[#This Row],[Activity]]),"",IF(_xlfn.XLOOKUP(Term4_Early_Dismissal_2[[#This Row],[Activity]],Types_of_Activity[Type of Activity],Types_of_Activity[Classification])=1,Term4_Early_Dismissal_2[[#This Row],[Elapsed]],0))</f>
        <v/>
      </c>
      <c r="N57" s="105" t="str">
        <f>IF(ISBLANK(Term4_Early_Dismissal_2[[#This Row],[Activity]]),"",IF(_xlfn.XLOOKUP(Term4_Early_Dismissal_2[[#This Row],[Activity]],Types_of_Activity[Type of Activity],Types_of_Activity[Classification])=2,Term4_Early_Dismissal_2[[#This Row],[Elapsed]],0))</f>
        <v/>
      </c>
      <c r="O57"/>
      <c r="P57" s="135"/>
      <c r="Q57" s="135"/>
      <c r="R57" s="102"/>
      <c r="S57" s="105" t="str">
        <f>IF(OR(ISBLANK(Term4_Early_Dismissal_3[[#This Row],[Start]]),ISBLANK(Term4_Early_Dismissal_3[[#This Row],[End]])),"",(Term4_Early_Dismissal_3[[#This Row],[End]]-Term4_Early_Dismissal_3[[#This Row],[Start]])*1440)</f>
        <v/>
      </c>
      <c r="T57" s="105" t="str">
        <f>IF(ISBLANK(Term4_Early_Dismissal_3[[#This Row],[Activity]]),"",IF(_xlfn.XLOOKUP(Term4_Early_Dismissal_3[[#This Row],[Activity]],Types_of_Activity[Type of Activity],Types_of_Activity[Classification])=1,Term4_Early_Dismissal_3[[#This Row],[Elapsed]],0))</f>
        <v/>
      </c>
      <c r="U57" s="105" t="str">
        <f>IF(ISBLANK(Term4_Early_Dismissal_3[[#This Row],[Activity]]),"",IF(_xlfn.XLOOKUP(Term4_Early_Dismissal_3[[#This Row],[Activity]],Types_of_Activity[Type of Activity],Types_of_Activity[Classification])=2,Term4_Early_Dismissal_3[[#This Row],[Elapsed]],0))</f>
        <v/>
      </c>
      <c r="W57" s="135"/>
      <c r="X57" s="135"/>
      <c r="Y57" s="102"/>
      <c r="Z57" s="105" t="str">
        <f>IF(OR(ISBLANK(Term4_Early_Dismissal_4[[#This Row],[Start]]),ISBLANK(Term4_Early_Dismissal_4[[#This Row],[End]])),"",(Term4_Early_Dismissal_4[[#This Row],[End]]-Term4_Early_Dismissal_4[[#This Row],[Start]])*1440)</f>
        <v/>
      </c>
      <c r="AA57" s="105" t="str">
        <f>IF(ISBLANK(Term4_Early_Dismissal_4[[#This Row],[Activity]]),"",IF(_xlfn.XLOOKUP(Term4_Early_Dismissal_4[[#This Row],[Activity]],Types_of_Activity[Type of Activity],Types_of_Activity[Classification])=1,Term4_Early_Dismissal_4[[#This Row],[Elapsed]],0))</f>
        <v/>
      </c>
      <c r="AB57" s="105" t="str">
        <f>IF(ISBLANK(Term4_Early_Dismissal_4[[#This Row],[Activity]]),"",IF(_xlfn.XLOOKUP(Term4_Early_Dismissal_4[[#This Row],[Activity]],Types_of_Activity[Type of Activity],Types_of_Activity[Classification])=2,Term4_Early_Dismissal_4[[#This Row],[Elapsed]],0))</f>
        <v/>
      </c>
      <c r="AD57" s="135"/>
      <c r="AE57" s="135"/>
      <c r="AF57" s="102"/>
      <c r="AG57" s="105" t="str">
        <f>IF(OR(ISBLANK(Term4_Early_Dismissal_5[[#This Row],[Start]]),ISBLANK(Term4_Early_Dismissal_5[[#This Row],[End]])),"",(Term4_Early_Dismissal_5[[#This Row],[End]]-Term4_Early_Dismissal_5[[#This Row],[Start]])*1440)</f>
        <v/>
      </c>
      <c r="AH57" s="105" t="str">
        <f>IF(ISBLANK(Term4_Early_Dismissal_5[[#This Row],[Activity]]),"",IF(_xlfn.XLOOKUP(Term4_Early_Dismissal_5[[#This Row],[Activity]],Types_of_Activity[Type of Activity],Types_of_Activity[Classification])=1,Term4_Early_Dismissal_5[[#This Row],[Elapsed]],0))</f>
        <v/>
      </c>
      <c r="AI57" s="105" t="str">
        <f>IF(ISBLANK(Term4_Early_Dismissal_5[[#This Row],[Activity]]),"",IF(_xlfn.XLOOKUP(Term4_Early_Dismissal_5[[#This Row],[Activity]],Types_of_Activity[Type of Activity],Types_of_Activity[Classification])=2,Term4_Early_Dismissal_5[[#This Row],[Elapsed]],0))</f>
        <v/>
      </c>
      <c r="AK57" s="135"/>
      <c r="AL57" s="135"/>
      <c r="AM57" s="102"/>
      <c r="AN57" s="105" t="str">
        <f>IF(OR(ISBLANK(Term4_Early_Dismissal_6[[#This Row],[Start]]),ISBLANK(Term4_Early_Dismissal_6[[#This Row],[End]])),"",(Term4_Early_Dismissal_6[[#This Row],[End]]-Term4_Early_Dismissal_6[[#This Row],[Start]])*1440)</f>
        <v/>
      </c>
      <c r="AO57" s="105" t="str">
        <f>IF(ISBLANK(Term4_Early_Dismissal_6[[#This Row],[Activity]]),"",IF(_xlfn.XLOOKUP(Term4_Early_Dismissal_6[[#This Row],[Activity]],Types_of_Activity[Type of Activity],Types_of_Activity[Classification])=1,Term4_Early_Dismissal_6[[#This Row],[Elapsed]],0))</f>
        <v/>
      </c>
      <c r="AP57" s="105" t="str">
        <f>IF(ISBLANK(Term4_Early_Dismissal_6[[#This Row],[Activity]]),"",IF(_xlfn.XLOOKUP(Term4_Early_Dismissal_6[[#This Row],[Activity]],Types_of_Activity[Type of Activity],Types_of_Activity[Classification])=2,Term4_Early_Dismissal_6[[#This Row],[Elapsed]],0))</f>
        <v/>
      </c>
    </row>
    <row r="58" spans="2:71" x14ac:dyDescent="0.3">
      <c r="B58" s="135"/>
      <c r="C58" s="135"/>
      <c r="D58" s="102"/>
      <c r="E58" s="105" t="str">
        <f>IF(OR(ISBLANK(Term4_Early_Dismissal_1[[#This Row],[Start]]),ISBLANK(Term4_Early_Dismissal_1[[#This Row],[End]])),"",(Term4_Early_Dismissal_1[[#This Row],[End]]-Term4_Early_Dismissal_1[[#This Row],[Start]])*1440)</f>
        <v/>
      </c>
      <c r="F58" s="105" t="str">
        <f>IF(ISBLANK(Term4_Early_Dismissal_1[[#This Row],[Activity]]),"",IF(_xlfn.XLOOKUP(Term4_Early_Dismissal_1[[#This Row],[Activity]],Types_of_Activity[Type of Activity],Types_of_Activity[Classification])=1,Term4_Early_Dismissal_1[[#This Row],[Elapsed]],0))</f>
        <v/>
      </c>
      <c r="G58" s="105" t="str">
        <f>IF(ISBLANK(Term4_Early_Dismissal_1[[#This Row],[Activity]]),"",IF(_xlfn.XLOOKUP(Term4_Early_Dismissal_1[[#This Row],[Activity]],Types_of_Activity[Type of Activity],Types_of_Activity[Classification])=2,Term4_Early_Dismissal_1[[#This Row],[Elapsed]],0))</f>
        <v/>
      </c>
      <c r="H58"/>
      <c r="I58" s="135"/>
      <c r="J58" s="135"/>
      <c r="K58" s="102"/>
      <c r="L58" s="105" t="str">
        <f>IF(OR(ISBLANK(Term4_Early_Dismissal_2[[#This Row],[Start]]),ISBLANK(Term4_Early_Dismissal_2[[#This Row],[End]])),"",(Term4_Early_Dismissal_2[[#This Row],[End]]-Term4_Early_Dismissal_2[[#This Row],[Start]])*1440)</f>
        <v/>
      </c>
      <c r="M58" s="105" t="str">
        <f>IF(ISBLANK(Term4_Early_Dismissal_2[[#This Row],[Activity]]),"",IF(_xlfn.XLOOKUP(Term4_Early_Dismissal_2[[#This Row],[Activity]],Types_of_Activity[Type of Activity],Types_of_Activity[Classification])=1,Term4_Early_Dismissal_2[[#This Row],[Elapsed]],0))</f>
        <v/>
      </c>
      <c r="N58" s="105" t="str">
        <f>IF(ISBLANK(Term4_Early_Dismissal_2[[#This Row],[Activity]]),"",IF(_xlfn.XLOOKUP(Term4_Early_Dismissal_2[[#This Row],[Activity]],Types_of_Activity[Type of Activity],Types_of_Activity[Classification])=2,Term4_Early_Dismissal_2[[#This Row],[Elapsed]],0))</f>
        <v/>
      </c>
      <c r="O58"/>
      <c r="P58" s="135"/>
      <c r="Q58" s="135"/>
      <c r="R58" s="102"/>
      <c r="S58" s="105" t="str">
        <f>IF(OR(ISBLANK(Term4_Early_Dismissal_3[[#This Row],[Start]]),ISBLANK(Term4_Early_Dismissal_3[[#This Row],[End]])),"",(Term4_Early_Dismissal_3[[#This Row],[End]]-Term4_Early_Dismissal_3[[#This Row],[Start]])*1440)</f>
        <v/>
      </c>
      <c r="T58" s="105" t="str">
        <f>IF(ISBLANK(Term4_Early_Dismissal_3[[#This Row],[Activity]]),"",IF(_xlfn.XLOOKUP(Term4_Early_Dismissal_3[[#This Row],[Activity]],Types_of_Activity[Type of Activity],Types_of_Activity[Classification])=1,Term4_Early_Dismissal_3[[#This Row],[Elapsed]],0))</f>
        <v/>
      </c>
      <c r="U58" s="105" t="str">
        <f>IF(ISBLANK(Term4_Early_Dismissal_3[[#This Row],[Activity]]),"",IF(_xlfn.XLOOKUP(Term4_Early_Dismissal_3[[#This Row],[Activity]],Types_of_Activity[Type of Activity],Types_of_Activity[Classification])=2,Term4_Early_Dismissal_3[[#This Row],[Elapsed]],0))</f>
        <v/>
      </c>
      <c r="W58" s="135"/>
      <c r="X58" s="135"/>
      <c r="Y58" s="102"/>
      <c r="Z58" s="105" t="str">
        <f>IF(OR(ISBLANK(Term4_Early_Dismissal_4[[#This Row],[Start]]),ISBLANK(Term4_Early_Dismissal_4[[#This Row],[End]])),"",(Term4_Early_Dismissal_4[[#This Row],[End]]-Term4_Early_Dismissal_4[[#This Row],[Start]])*1440)</f>
        <v/>
      </c>
      <c r="AA58" s="105" t="str">
        <f>IF(ISBLANK(Term4_Early_Dismissal_4[[#This Row],[Activity]]),"",IF(_xlfn.XLOOKUP(Term4_Early_Dismissal_4[[#This Row],[Activity]],Types_of_Activity[Type of Activity],Types_of_Activity[Classification])=1,Term4_Early_Dismissal_4[[#This Row],[Elapsed]],0))</f>
        <v/>
      </c>
      <c r="AB58" s="105" t="str">
        <f>IF(ISBLANK(Term4_Early_Dismissal_4[[#This Row],[Activity]]),"",IF(_xlfn.XLOOKUP(Term4_Early_Dismissal_4[[#This Row],[Activity]],Types_of_Activity[Type of Activity],Types_of_Activity[Classification])=2,Term4_Early_Dismissal_4[[#This Row],[Elapsed]],0))</f>
        <v/>
      </c>
      <c r="AD58" s="135"/>
      <c r="AE58" s="135"/>
      <c r="AF58" s="102"/>
      <c r="AG58" s="105" t="str">
        <f>IF(OR(ISBLANK(Term4_Early_Dismissal_5[[#This Row],[Start]]),ISBLANK(Term4_Early_Dismissal_5[[#This Row],[End]])),"",(Term4_Early_Dismissal_5[[#This Row],[End]]-Term4_Early_Dismissal_5[[#This Row],[Start]])*1440)</f>
        <v/>
      </c>
      <c r="AH58" s="105" t="str">
        <f>IF(ISBLANK(Term4_Early_Dismissal_5[[#This Row],[Activity]]),"",IF(_xlfn.XLOOKUP(Term4_Early_Dismissal_5[[#This Row],[Activity]],Types_of_Activity[Type of Activity],Types_of_Activity[Classification])=1,Term4_Early_Dismissal_5[[#This Row],[Elapsed]],0))</f>
        <v/>
      </c>
      <c r="AI58" s="105" t="str">
        <f>IF(ISBLANK(Term4_Early_Dismissal_5[[#This Row],[Activity]]),"",IF(_xlfn.XLOOKUP(Term4_Early_Dismissal_5[[#This Row],[Activity]],Types_of_Activity[Type of Activity],Types_of_Activity[Classification])=2,Term4_Early_Dismissal_5[[#This Row],[Elapsed]],0))</f>
        <v/>
      </c>
      <c r="AK58" s="135"/>
      <c r="AL58" s="135"/>
      <c r="AM58" s="102"/>
      <c r="AN58" s="105" t="str">
        <f>IF(OR(ISBLANK(Term4_Early_Dismissal_6[[#This Row],[Start]]),ISBLANK(Term4_Early_Dismissal_6[[#This Row],[End]])),"",(Term4_Early_Dismissal_6[[#This Row],[End]]-Term4_Early_Dismissal_6[[#This Row],[Start]])*1440)</f>
        <v/>
      </c>
      <c r="AO58" s="105" t="str">
        <f>IF(ISBLANK(Term4_Early_Dismissal_6[[#This Row],[Activity]]),"",IF(_xlfn.XLOOKUP(Term4_Early_Dismissal_6[[#This Row],[Activity]],Types_of_Activity[Type of Activity],Types_of_Activity[Classification])=1,Term4_Early_Dismissal_6[[#This Row],[Elapsed]],0))</f>
        <v/>
      </c>
      <c r="AP58" s="105" t="str">
        <f>IF(ISBLANK(Term4_Early_Dismissal_6[[#This Row],[Activity]]),"",IF(_xlfn.XLOOKUP(Term4_Early_Dismissal_6[[#This Row],[Activity]],Types_of_Activity[Type of Activity],Types_of_Activity[Classification])=2,Term4_Early_Dismissal_6[[#This Row],[Elapsed]],0))</f>
        <v/>
      </c>
    </row>
    <row r="59" spans="2:71" x14ac:dyDescent="0.3">
      <c r="B59" s="135"/>
      <c r="C59" s="135"/>
      <c r="D59" s="102"/>
      <c r="E59" s="105" t="str">
        <f>IF(OR(ISBLANK(Term4_Early_Dismissal_1[[#This Row],[Start]]),ISBLANK(Term4_Early_Dismissal_1[[#This Row],[End]])),"",(Term4_Early_Dismissal_1[[#This Row],[End]]-Term4_Early_Dismissal_1[[#This Row],[Start]])*1440)</f>
        <v/>
      </c>
      <c r="F59" s="105" t="str">
        <f>IF(ISBLANK(Term4_Early_Dismissal_1[[#This Row],[Activity]]),"",IF(_xlfn.XLOOKUP(Term4_Early_Dismissal_1[[#This Row],[Activity]],Types_of_Activity[Type of Activity],Types_of_Activity[Classification])=1,Term4_Early_Dismissal_1[[#This Row],[Elapsed]],0))</f>
        <v/>
      </c>
      <c r="G59" s="105" t="str">
        <f>IF(ISBLANK(Term4_Early_Dismissal_1[[#This Row],[Activity]]),"",IF(_xlfn.XLOOKUP(Term4_Early_Dismissal_1[[#This Row],[Activity]],Types_of_Activity[Type of Activity],Types_of_Activity[Classification])=2,Term4_Early_Dismissal_1[[#This Row],[Elapsed]],0))</f>
        <v/>
      </c>
      <c r="H59"/>
      <c r="I59" s="135"/>
      <c r="J59" s="135"/>
      <c r="K59" s="102"/>
      <c r="L59" s="105" t="str">
        <f>IF(OR(ISBLANK(Term4_Early_Dismissal_2[[#This Row],[Start]]),ISBLANK(Term4_Early_Dismissal_2[[#This Row],[End]])),"",(Term4_Early_Dismissal_2[[#This Row],[End]]-Term4_Early_Dismissal_2[[#This Row],[Start]])*1440)</f>
        <v/>
      </c>
      <c r="M59" s="105" t="str">
        <f>IF(ISBLANK(Term4_Early_Dismissal_2[[#This Row],[Activity]]),"",IF(_xlfn.XLOOKUP(Term4_Early_Dismissal_2[[#This Row],[Activity]],Types_of_Activity[Type of Activity],Types_of_Activity[Classification])=1,Term4_Early_Dismissal_2[[#This Row],[Elapsed]],0))</f>
        <v/>
      </c>
      <c r="N59" s="105" t="str">
        <f>IF(ISBLANK(Term4_Early_Dismissal_2[[#This Row],[Activity]]),"",IF(_xlfn.XLOOKUP(Term4_Early_Dismissal_2[[#This Row],[Activity]],Types_of_Activity[Type of Activity],Types_of_Activity[Classification])=2,Term4_Early_Dismissal_2[[#This Row],[Elapsed]],0))</f>
        <v/>
      </c>
      <c r="O59"/>
      <c r="P59" s="135"/>
      <c r="Q59" s="135"/>
      <c r="R59" s="102"/>
      <c r="S59" s="105" t="str">
        <f>IF(OR(ISBLANK(Term4_Early_Dismissal_3[[#This Row],[Start]]),ISBLANK(Term4_Early_Dismissal_3[[#This Row],[End]])),"",(Term4_Early_Dismissal_3[[#This Row],[End]]-Term4_Early_Dismissal_3[[#This Row],[Start]])*1440)</f>
        <v/>
      </c>
      <c r="T59" s="105" t="str">
        <f>IF(ISBLANK(Term4_Early_Dismissal_3[[#This Row],[Activity]]),"",IF(_xlfn.XLOOKUP(Term4_Early_Dismissal_3[[#This Row],[Activity]],Types_of_Activity[Type of Activity],Types_of_Activity[Classification])=1,Term4_Early_Dismissal_3[[#This Row],[Elapsed]],0))</f>
        <v/>
      </c>
      <c r="U59" s="105" t="str">
        <f>IF(ISBLANK(Term4_Early_Dismissal_3[[#This Row],[Activity]]),"",IF(_xlfn.XLOOKUP(Term4_Early_Dismissal_3[[#This Row],[Activity]],Types_of_Activity[Type of Activity],Types_of_Activity[Classification])=2,Term4_Early_Dismissal_3[[#This Row],[Elapsed]],0))</f>
        <v/>
      </c>
      <c r="W59" s="135"/>
      <c r="X59" s="135"/>
      <c r="Y59" s="102"/>
      <c r="Z59" s="105" t="str">
        <f>IF(OR(ISBLANK(Term4_Early_Dismissal_4[[#This Row],[Start]]),ISBLANK(Term4_Early_Dismissal_4[[#This Row],[End]])),"",(Term4_Early_Dismissal_4[[#This Row],[End]]-Term4_Early_Dismissal_4[[#This Row],[Start]])*1440)</f>
        <v/>
      </c>
      <c r="AA59" s="105" t="str">
        <f>IF(ISBLANK(Term4_Early_Dismissal_4[[#This Row],[Activity]]),"",IF(_xlfn.XLOOKUP(Term4_Early_Dismissal_4[[#This Row],[Activity]],Types_of_Activity[Type of Activity],Types_of_Activity[Classification])=1,Term4_Early_Dismissal_4[[#This Row],[Elapsed]],0))</f>
        <v/>
      </c>
      <c r="AB59" s="105" t="str">
        <f>IF(ISBLANK(Term4_Early_Dismissal_4[[#This Row],[Activity]]),"",IF(_xlfn.XLOOKUP(Term4_Early_Dismissal_4[[#This Row],[Activity]],Types_of_Activity[Type of Activity],Types_of_Activity[Classification])=2,Term4_Early_Dismissal_4[[#This Row],[Elapsed]],0))</f>
        <v/>
      </c>
      <c r="AD59" s="135"/>
      <c r="AE59" s="135"/>
      <c r="AF59" s="102"/>
      <c r="AG59" s="105" t="str">
        <f>IF(OR(ISBLANK(Term4_Early_Dismissal_5[[#This Row],[Start]]),ISBLANK(Term4_Early_Dismissal_5[[#This Row],[End]])),"",(Term4_Early_Dismissal_5[[#This Row],[End]]-Term4_Early_Dismissal_5[[#This Row],[Start]])*1440)</f>
        <v/>
      </c>
      <c r="AH59" s="105" t="str">
        <f>IF(ISBLANK(Term4_Early_Dismissal_5[[#This Row],[Activity]]),"",IF(_xlfn.XLOOKUP(Term4_Early_Dismissal_5[[#This Row],[Activity]],Types_of_Activity[Type of Activity],Types_of_Activity[Classification])=1,Term4_Early_Dismissal_5[[#This Row],[Elapsed]],0))</f>
        <v/>
      </c>
      <c r="AI59" s="105" t="str">
        <f>IF(ISBLANK(Term4_Early_Dismissal_5[[#This Row],[Activity]]),"",IF(_xlfn.XLOOKUP(Term4_Early_Dismissal_5[[#This Row],[Activity]],Types_of_Activity[Type of Activity],Types_of_Activity[Classification])=2,Term4_Early_Dismissal_5[[#This Row],[Elapsed]],0))</f>
        <v/>
      </c>
      <c r="AK59" s="135"/>
      <c r="AL59" s="135"/>
      <c r="AM59" s="102"/>
      <c r="AN59" s="105" t="str">
        <f>IF(OR(ISBLANK(Term4_Early_Dismissal_6[[#This Row],[Start]]),ISBLANK(Term4_Early_Dismissal_6[[#This Row],[End]])),"",(Term4_Early_Dismissal_6[[#This Row],[End]]-Term4_Early_Dismissal_6[[#This Row],[Start]])*1440)</f>
        <v/>
      </c>
      <c r="AO59" s="105" t="str">
        <f>IF(ISBLANK(Term4_Early_Dismissal_6[[#This Row],[Activity]]),"",IF(_xlfn.XLOOKUP(Term4_Early_Dismissal_6[[#This Row],[Activity]],Types_of_Activity[Type of Activity],Types_of_Activity[Classification])=1,Term4_Early_Dismissal_6[[#This Row],[Elapsed]],0))</f>
        <v/>
      </c>
      <c r="AP59" s="105" t="str">
        <f>IF(ISBLANK(Term4_Early_Dismissal_6[[#This Row],[Activity]]),"",IF(_xlfn.XLOOKUP(Term4_Early_Dismissal_6[[#This Row],[Activity]],Types_of_Activity[Type of Activity],Types_of_Activity[Classification])=2,Term4_Early_Dismissal_6[[#This Row],[Elapsed]],0))</f>
        <v/>
      </c>
    </row>
    <row r="60" spans="2:71" x14ac:dyDescent="0.3">
      <c r="B60" s="135"/>
      <c r="C60" s="135"/>
      <c r="D60" s="102"/>
      <c r="E60" s="105" t="str">
        <f>IF(OR(ISBLANK(Term4_Early_Dismissal_1[[#This Row],[Start]]),ISBLANK(Term4_Early_Dismissal_1[[#This Row],[End]])),"",(Term4_Early_Dismissal_1[[#This Row],[End]]-Term4_Early_Dismissal_1[[#This Row],[Start]])*1440)</f>
        <v/>
      </c>
      <c r="F60" s="105" t="str">
        <f>IF(ISBLANK(Term4_Early_Dismissal_1[[#This Row],[Activity]]),"",IF(_xlfn.XLOOKUP(Term4_Early_Dismissal_1[[#This Row],[Activity]],Types_of_Activity[Type of Activity],Types_of_Activity[Classification])=1,Term4_Early_Dismissal_1[[#This Row],[Elapsed]],0))</f>
        <v/>
      </c>
      <c r="G60" s="105" t="str">
        <f>IF(ISBLANK(Term4_Early_Dismissal_1[[#This Row],[Activity]]),"",IF(_xlfn.XLOOKUP(Term4_Early_Dismissal_1[[#This Row],[Activity]],Types_of_Activity[Type of Activity],Types_of_Activity[Classification])=2,Term4_Early_Dismissal_1[[#This Row],[Elapsed]],0))</f>
        <v/>
      </c>
      <c r="H60"/>
      <c r="I60" s="135"/>
      <c r="J60" s="135"/>
      <c r="K60" s="102"/>
      <c r="L60" s="105" t="str">
        <f>IF(OR(ISBLANK(Term4_Early_Dismissal_2[[#This Row],[Start]]),ISBLANK(Term4_Early_Dismissal_2[[#This Row],[End]])),"",(Term4_Early_Dismissal_2[[#This Row],[End]]-Term4_Early_Dismissal_2[[#This Row],[Start]])*1440)</f>
        <v/>
      </c>
      <c r="M60" s="105" t="str">
        <f>IF(ISBLANK(Term4_Early_Dismissal_2[[#This Row],[Activity]]),"",IF(_xlfn.XLOOKUP(Term4_Early_Dismissal_2[[#This Row],[Activity]],Types_of_Activity[Type of Activity],Types_of_Activity[Classification])=1,Term4_Early_Dismissal_2[[#This Row],[Elapsed]],0))</f>
        <v/>
      </c>
      <c r="N60" s="105" t="str">
        <f>IF(ISBLANK(Term4_Early_Dismissal_2[[#This Row],[Activity]]),"",IF(_xlfn.XLOOKUP(Term4_Early_Dismissal_2[[#This Row],[Activity]],Types_of_Activity[Type of Activity],Types_of_Activity[Classification])=2,Term4_Early_Dismissal_2[[#This Row],[Elapsed]],0))</f>
        <v/>
      </c>
      <c r="O60"/>
      <c r="P60" s="135"/>
      <c r="Q60" s="135"/>
      <c r="R60" s="102"/>
      <c r="S60" s="105" t="str">
        <f>IF(OR(ISBLANK(Term4_Early_Dismissal_3[[#This Row],[Start]]),ISBLANK(Term4_Early_Dismissal_3[[#This Row],[End]])),"",(Term4_Early_Dismissal_3[[#This Row],[End]]-Term4_Early_Dismissal_3[[#This Row],[Start]])*1440)</f>
        <v/>
      </c>
      <c r="T60" s="105" t="str">
        <f>IF(ISBLANK(Term4_Early_Dismissal_3[[#This Row],[Activity]]),"",IF(_xlfn.XLOOKUP(Term4_Early_Dismissal_3[[#This Row],[Activity]],Types_of_Activity[Type of Activity],Types_of_Activity[Classification])=1,Term4_Early_Dismissal_3[[#This Row],[Elapsed]],0))</f>
        <v/>
      </c>
      <c r="U60" s="105" t="str">
        <f>IF(ISBLANK(Term4_Early_Dismissal_3[[#This Row],[Activity]]),"",IF(_xlfn.XLOOKUP(Term4_Early_Dismissal_3[[#This Row],[Activity]],Types_of_Activity[Type of Activity],Types_of_Activity[Classification])=2,Term4_Early_Dismissal_3[[#This Row],[Elapsed]],0))</f>
        <v/>
      </c>
      <c r="W60" s="135"/>
      <c r="X60" s="135"/>
      <c r="Y60" s="102"/>
      <c r="Z60" s="105" t="str">
        <f>IF(OR(ISBLANK(Term4_Early_Dismissal_4[[#This Row],[Start]]),ISBLANK(Term4_Early_Dismissal_4[[#This Row],[End]])),"",(Term4_Early_Dismissal_4[[#This Row],[End]]-Term4_Early_Dismissal_4[[#This Row],[Start]])*1440)</f>
        <v/>
      </c>
      <c r="AA60" s="105" t="str">
        <f>IF(ISBLANK(Term4_Early_Dismissal_4[[#This Row],[Activity]]),"",IF(_xlfn.XLOOKUP(Term4_Early_Dismissal_4[[#This Row],[Activity]],Types_of_Activity[Type of Activity],Types_of_Activity[Classification])=1,Term4_Early_Dismissal_4[[#This Row],[Elapsed]],0))</f>
        <v/>
      </c>
      <c r="AB60" s="105" t="str">
        <f>IF(ISBLANK(Term4_Early_Dismissal_4[[#This Row],[Activity]]),"",IF(_xlfn.XLOOKUP(Term4_Early_Dismissal_4[[#This Row],[Activity]],Types_of_Activity[Type of Activity],Types_of_Activity[Classification])=2,Term4_Early_Dismissal_4[[#This Row],[Elapsed]],0))</f>
        <v/>
      </c>
      <c r="AD60" s="135"/>
      <c r="AE60" s="135"/>
      <c r="AF60" s="102"/>
      <c r="AG60" s="105" t="str">
        <f>IF(OR(ISBLANK(Term4_Early_Dismissal_5[[#This Row],[Start]]),ISBLANK(Term4_Early_Dismissal_5[[#This Row],[End]])),"",(Term4_Early_Dismissal_5[[#This Row],[End]]-Term4_Early_Dismissal_5[[#This Row],[Start]])*1440)</f>
        <v/>
      </c>
      <c r="AH60" s="105" t="str">
        <f>IF(ISBLANK(Term4_Early_Dismissal_5[[#This Row],[Activity]]),"",IF(_xlfn.XLOOKUP(Term4_Early_Dismissal_5[[#This Row],[Activity]],Types_of_Activity[Type of Activity],Types_of_Activity[Classification])=1,Term4_Early_Dismissal_5[[#This Row],[Elapsed]],0))</f>
        <v/>
      </c>
      <c r="AI60" s="105" t="str">
        <f>IF(ISBLANK(Term4_Early_Dismissal_5[[#This Row],[Activity]]),"",IF(_xlfn.XLOOKUP(Term4_Early_Dismissal_5[[#This Row],[Activity]],Types_of_Activity[Type of Activity],Types_of_Activity[Classification])=2,Term4_Early_Dismissal_5[[#This Row],[Elapsed]],0))</f>
        <v/>
      </c>
      <c r="AK60" s="135"/>
      <c r="AL60" s="135"/>
      <c r="AM60" s="102"/>
      <c r="AN60" s="105" t="str">
        <f>IF(OR(ISBLANK(Term4_Early_Dismissal_6[[#This Row],[Start]]),ISBLANK(Term4_Early_Dismissal_6[[#This Row],[End]])),"",(Term4_Early_Dismissal_6[[#This Row],[End]]-Term4_Early_Dismissal_6[[#This Row],[Start]])*1440)</f>
        <v/>
      </c>
      <c r="AO60" s="105" t="str">
        <f>IF(ISBLANK(Term4_Early_Dismissal_6[[#This Row],[Activity]]),"",IF(_xlfn.XLOOKUP(Term4_Early_Dismissal_6[[#This Row],[Activity]],Types_of_Activity[Type of Activity],Types_of_Activity[Classification])=1,Term4_Early_Dismissal_6[[#This Row],[Elapsed]],0))</f>
        <v/>
      </c>
      <c r="AP60" s="105" t="str">
        <f>IF(ISBLANK(Term4_Early_Dismissal_6[[#This Row],[Activity]]),"",IF(_xlfn.XLOOKUP(Term4_Early_Dismissal_6[[#This Row],[Activity]],Types_of_Activity[Type of Activity],Types_of_Activity[Classification])=2,Term4_Early_Dismissal_6[[#This Row],[Elapsed]],0))</f>
        <v/>
      </c>
    </row>
    <row r="61" spans="2:71" x14ac:dyDescent="0.3">
      <c r="B61" s="135"/>
      <c r="C61" s="135"/>
      <c r="D61" s="102"/>
      <c r="E61" s="105" t="str">
        <f>IF(OR(ISBLANK(Term4_Early_Dismissal_1[[#This Row],[Start]]),ISBLANK(Term4_Early_Dismissal_1[[#This Row],[End]])),"",(Term4_Early_Dismissal_1[[#This Row],[End]]-Term4_Early_Dismissal_1[[#This Row],[Start]])*1440)</f>
        <v/>
      </c>
      <c r="F61" s="105" t="str">
        <f>IF(ISBLANK(Term4_Early_Dismissal_1[[#This Row],[Activity]]),"",IF(_xlfn.XLOOKUP(Term4_Early_Dismissal_1[[#This Row],[Activity]],Types_of_Activity[Type of Activity],Types_of_Activity[Classification])=1,Term4_Early_Dismissal_1[[#This Row],[Elapsed]],0))</f>
        <v/>
      </c>
      <c r="G61" s="105" t="str">
        <f>IF(ISBLANK(Term4_Early_Dismissal_1[[#This Row],[Activity]]),"",IF(_xlfn.XLOOKUP(Term4_Early_Dismissal_1[[#This Row],[Activity]],Types_of_Activity[Type of Activity],Types_of_Activity[Classification])=2,Term4_Early_Dismissal_1[[#This Row],[Elapsed]],0))</f>
        <v/>
      </c>
      <c r="H61"/>
      <c r="I61" s="135"/>
      <c r="J61" s="135"/>
      <c r="K61" s="102"/>
      <c r="L61" s="105" t="str">
        <f>IF(OR(ISBLANK(Term4_Early_Dismissal_2[[#This Row],[Start]]),ISBLANK(Term4_Early_Dismissal_2[[#This Row],[End]])),"",(Term4_Early_Dismissal_2[[#This Row],[End]]-Term4_Early_Dismissal_2[[#This Row],[Start]])*1440)</f>
        <v/>
      </c>
      <c r="M61" s="105" t="str">
        <f>IF(ISBLANK(Term4_Early_Dismissal_2[[#This Row],[Activity]]),"",IF(_xlfn.XLOOKUP(Term4_Early_Dismissal_2[[#This Row],[Activity]],Types_of_Activity[Type of Activity],Types_of_Activity[Classification])=1,Term4_Early_Dismissal_2[[#This Row],[Elapsed]],0))</f>
        <v/>
      </c>
      <c r="N61" s="105" t="str">
        <f>IF(ISBLANK(Term4_Early_Dismissal_2[[#This Row],[Activity]]),"",IF(_xlfn.XLOOKUP(Term4_Early_Dismissal_2[[#This Row],[Activity]],Types_of_Activity[Type of Activity],Types_of_Activity[Classification])=2,Term4_Early_Dismissal_2[[#This Row],[Elapsed]],0))</f>
        <v/>
      </c>
      <c r="O61"/>
      <c r="P61" s="135"/>
      <c r="Q61" s="135"/>
      <c r="R61" s="102"/>
      <c r="S61" s="105" t="str">
        <f>IF(OR(ISBLANK(Term4_Early_Dismissal_3[[#This Row],[Start]]),ISBLANK(Term4_Early_Dismissal_3[[#This Row],[End]])),"",(Term4_Early_Dismissal_3[[#This Row],[End]]-Term4_Early_Dismissal_3[[#This Row],[Start]])*1440)</f>
        <v/>
      </c>
      <c r="T61" s="105" t="str">
        <f>IF(ISBLANK(Term4_Early_Dismissal_3[[#This Row],[Activity]]),"",IF(_xlfn.XLOOKUP(Term4_Early_Dismissal_3[[#This Row],[Activity]],Types_of_Activity[Type of Activity],Types_of_Activity[Classification])=1,Term4_Early_Dismissal_3[[#This Row],[Elapsed]],0))</f>
        <v/>
      </c>
      <c r="U61" s="105" t="str">
        <f>IF(ISBLANK(Term4_Early_Dismissal_3[[#This Row],[Activity]]),"",IF(_xlfn.XLOOKUP(Term4_Early_Dismissal_3[[#This Row],[Activity]],Types_of_Activity[Type of Activity],Types_of_Activity[Classification])=2,Term4_Early_Dismissal_3[[#This Row],[Elapsed]],0))</f>
        <v/>
      </c>
      <c r="W61" s="135"/>
      <c r="X61" s="135"/>
      <c r="Y61" s="102"/>
      <c r="Z61" s="105" t="str">
        <f>IF(OR(ISBLANK(Term4_Early_Dismissal_4[[#This Row],[Start]]),ISBLANK(Term4_Early_Dismissal_4[[#This Row],[End]])),"",(Term4_Early_Dismissal_4[[#This Row],[End]]-Term4_Early_Dismissal_4[[#This Row],[Start]])*1440)</f>
        <v/>
      </c>
      <c r="AA61" s="105" t="str">
        <f>IF(ISBLANK(Term4_Early_Dismissal_4[[#This Row],[Activity]]),"",IF(_xlfn.XLOOKUP(Term4_Early_Dismissal_4[[#This Row],[Activity]],Types_of_Activity[Type of Activity],Types_of_Activity[Classification])=1,Term4_Early_Dismissal_4[[#This Row],[Elapsed]],0))</f>
        <v/>
      </c>
      <c r="AB61" s="105" t="str">
        <f>IF(ISBLANK(Term4_Early_Dismissal_4[[#This Row],[Activity]]),"",IF(_xlfn.XLOOKUP(Term4_Early_Dismissal_4[[#This Row],[Activity]],Types_of_Activity[Type of Activity],Types_of_Activity[Classification])=2,Term4_Early_Dismissal_4[[#This Row],[Elapsed]],0))</f>
        <v/>
      </c>
      <c r="AD61" s="135"/>
      <c r="AE61" s="135"/>
      <c r="AF61" s="102"/>
      <c r="AG61" s="105" t="str">
        <f>IF(OR(ISBLANK(Term4_Early_Dismissal_5[[#This Row],[Start]]),ISBLANK(Term4_Early_Dismissal_5[[#This Row],[End]])),"",(Term4_Early_Dismissal_5[[#This Row],[End]]-Term4_Early_Dismissal_5[[#This Row],[Start]])*1440)</f>
        <v/>
      </c>
      <c r="AH61" s="105" t="str">
        <f>IF(ISBLANK(Term4_Early_Dismissal_5[[#This Row],[Activity]]),"",IF(_xlfn.XLOOKUP(Term4_Early_Dismissal_5[[#This Row],[Activity]],Types_of_Activity[Type of Activity],Types_of_Activity[Classification])=1,Term4_Early_Dismissal_5[[#This Row],[Elapsed]],0))</f>
        <v/>
      </c>
      <c r="AI61" s="105" t="str">
        <f>IF(ISBLANK(Term4_Early_Dismissal_5[[#This Row],[Activity]]),"",IF(_xlfn.XLOOKUP(Term4_Early_Dismissal_5[[#This Row],[Activity]],Types_of_Activity[Type of Activity],Types_of_Activity[Classification])=2,Term4_Early_Dismissal_5[[#This Row],[Elapsed]],0))</f>
        <v/>
      </c>
      <c r="AK61" s="135"/>
      <c r="AL61" s="135"/>
      <c r="AM61" s="102"/>
      <c r="AN61" s="105" t="str">
        <f>IF(OR(ISBLANK(Term4_Early_Dismissal_6[[#This Row],[Start]]),ISBLANK(Term4_Early_Dismissal_6[[#This Row],[End]])),"",(Term4_Early_Dismissal_6[[#This Row],[End]]-Term4_Early_Dismissal_6[[#This Row],[Start]])*1440)</f>
        <v/>
      </c>
      <c r="AO61" s="105" t="str">
        <f>IF(ISBLANK(Term4_Early_Dismissal_6[[#This Row],[Activity]]),"",IF(_xlfn.XLOOKUP(Term4_Early_Dismissal_6[[#This Row],[Activity]],Types_of_Activity[Type of Activity],Types_of_Activity[Classification])=1,Term4_Early_Dismissal_6[[#This Row],[Elapsed]],0))</f>
        <v/>
      </c>
      <c r="AP61" s="105" t="str">
        <f>IF(ISBLANK(Term4_Early_Dismissal_6[[#This Row],[Activity]]),"",IF(_xlfn.XLOOKUP(Term4_Early_Dismissal_6[[#This Row],[Activity]],Types_of_Activity[Type of Activity],Types_of_Activity[Classification])=2,Term4_Early_Dismissal_6[[#This Row],[Elapsed]],0))</f>
        <v/>
      </c>
    </row>
    <row r="62" spans="2:71" x14ac:dyDescent="0.3">
      <c r="B62" s="135"/>
      <c r="C62" s="135"/>
      <c r="D62" s="102"/>
      <c r="E62" s="105" t="str">
        <f>IF(OR(ISBLANK(Term4_Early_Dismissal_1[[#This Row],[Start]]),ISBLANK(Term4_Early_Dismissal_1[[#This Row],[End]])),"",(Term4_Early_Dismissal_1[[#This Row],[End]]-Term4_Early_Dismissal_1[[#This Row],[Start]])*1440)</f>
        <v/>
      </c>
      <c r="F62" s="105" t="str">
        <f>IF(ISBLANK(Term4_Early_Dismissal_1[[#This Row],[Activity]]),"",IF(_xlfn.XLOOKUP(Term4_Early_Dismissal_1[[#This Row],[Activity]],Types_of_Activity[Type of Activity],Types_of_Activity[Classification])=1,Term4_Early_Dismissal_1[[#This Row],[Elapsed]],0))</f>
        <v/>
      </c>
      <c r="G62" s="105" t="str">
        <f>IF(ISBLANK(Term4_Early_Dismissal_1[[#This Row],[Activity]]),"",IF(_xlfn.XLOOKUP(Term4_Early_Dismissal_1[[#This Row],[Activity]],Types_of_Activity[Type of Activity],Types_of_Activity[Classification])=2,Term4_Early_Dismissal_1[[#This Row],[Elapsed]],0))</f>
        <v/>
      </c>
      <c r="H62"/>
      <c r="I62" s="135"/>
      <c r="J62" s="135"/>
      <c r="K62" s="102"/>
      <c r="L62" s="105" t="str">
        <f>IF(OR(ISBLANK(Term4_Early_Dismissal_2[[#This Row],[Start]]),ISBLANK(Term4_Early_Dismissal_2[[#This Row],[End]])),"",(Term4_Early_Dismissal_2[[#This Row],[End]]-Term4_Early_Dismissal_2[[#This Row],[Start]])*1440)</f>
        <v/>
      </c>
      <c r="M62" s="105" t="str">
        <f>IF(ISBLANK(Term4_Early_Dismissal_2[[#This Row],[Activity]]),"",IF(_xlfn.XLOOKUP(Term4_Early_Dismissal_2[[#This Row],[Activity]],Types_of_Activity[Type of Activity],Types_of_Activity[Classification])=1,Term4_Early_Dismissal_2[[#This Row],[Elapsed]],0))</f>
        <v/>
      </c>
      <c r="N62" s="105" t="str">
        <f>IF(ISBLANK(Term4_Early_Dismissal_2[[#This Row],[Activity]]),"",IF(_xlfn.XLOOKUP(Term4_Early_Dismissal_2[[#This Row],[Activity]],Types_of_Activity[Type of Activity],Types_of_Activity[Classification])=2,Term4_Early_Dismissal_2[[#This Row],[Elapsed]],0))</f>
        <v/>
      </c>
      <c r="O62"/>
      <c r="P62" s="135"/>
      <c r="Q62" s="135"/>
      <c r="R62" s="102"/>
      <c r="S62" s="105" t="str">
        <f>IF(OR(ISBLANK(Term4_Early_Dismissal_3[[#This Row],[Start]]),ISBLANK(Term4_Early_Dismissal_3[[#This Row],[End]])),"",(Term4_Early_Dismissal_3[[#This Row],[End]]-Term4_Early_Dismissal_3[[#This Row],[Start]])*1440)</f>
        <v/>
      </c>
      <c r="T62" s="105" t="str">
        <f>IF(ISBLANK(Term4_Early_Dismissal_3[[#This Row],[Activity]]),"",IF(_xlfn.XLOOKUP(Term4_Early_Dismissal_3[[#This Row],[Activity]],Types_of_Activity[Type of Activity],Types_of_Activity[Classification])=1,Term4_Early_Dismissal_3[[#This Row],[Elapsed]],0))</f>
        <v/>
      </c>
      <c r="U62" s="105" t="str">
        <f>IF(ISBLANK(Term4_Early_Dismissal_3[[#This Row],[Activity]]),"",IF(_xlfn.XLOOKUP(Term4_Early_Dismissal_3[[#This Row],[Activity]],Types_of_Activity[Type of Activity],Types_of_Activity[Classification])=2,Term4_Early_Dismissal_3[[#This Row],[Elapsed]],0))</f>
        <v/>
      </c>
      <c r="W62" s="135"/>
      <c r="X62" s="135"/>
      <c r="Y62" s="102"/>
      <c r="Z62" s="105" t="str">
        <f>IF(OR(ISBLANK(Term4_Early_Dismissal_4[[#This Row],[Start]]),ISBLANK(Term4_Early_Dismissal_4[[#This Row],[End]])),"",(Term4_Early_Dismissal_4[[#This Row],[End]]-Term4_Early_Dismissal_4[[#This Row],[Start]])*1440)</f>
        <v/>
      </c>
      <c r="AA62" s="105" t="str">
        <f>IF(ISBLANK(Term4_Early_Dismissal_4[[#This Row],[Activity]]),"",IF(_xlfn.XLOOKUP(Term4_Early_Dismissal_4[[#This Row],[Activity]],Types_of_Activity[Type of Activity],Types_of_Activity[Classification])=1,Term4_Early_Dismissal_4[[#This Row],[Elapsed]],0))</f>
        <v/>
      </c>
      <c r="AB62" s="105" t="str">
        <f>IF(ISBLANK(Term4_Early_Dismissal_4[[#This Row],[Activity]]),"",IF(_xlfn.XLOOKUP(Term4_Early_Dismissal_4[[#This Row],[Activity]],Types_of_Activity[Type of Activity],Types_of_Activity[Classification])=2,Term4_Early_Dismissal_4[[#This Row],[Elapsed]],0))</f>
        <v/>
      </c>
      <c r="AD62" s="135"/>
      <c r="AE62" s="135"/>
      <c r="AF62" s="102"/>
      <c r="AG62" s="105" t="str">
        <f>IF(OR(ISBLANK(Term4_Early_Dismissal_5[[#This Row],[Start]]),ISBLANK(Term4_Early_Dismissal_5[[#This Row],[End]])),"",(Term4_Early_Dismissal_5[[#This Row],[End]]-Term4_Early_Dismissal_5[[#This Row],[Start]])*1440)</f>
        <v/>
      </c>
      <c r="AH62" s="105" t="str">
        <f>IF(ISBLANK(Term4_Early_Dismissal_5[[#This Row],[Activity]]),"",IF(_xlfn.XLOOKUP(Term4_Early_Dismissal_5[[#This Row],[Activity]],Types_of_Activity[Type of Activity],Types_of_Activity[Classification])=1,Term4_Early_Dismissal_5[[#This Row],[Elapsed]],0))</f>
        <v/>
      </c>
      <c r="AI62" s="105" t="str">
        <f>IF(ISBLANK(Term4_Early_Dismissal_5[[#This Row],[Activity]]),"",IF(_xlfn.XLOOKUP(Term4_Early_Dismissal_5[[#This Row],[Activity]],Types_of_Activity[Type of Activity],Types_of_Activity[Classification])=2,Term4_Early_Dismissal_5[[#This Row],[Elapsed]],0))</f>
        <v/>
      </c>
      <c r="AK62" s="135"/>
      <c r="AL62" s="135"/>
      <c r="AM62" s="102"/>
      <c r="AN62" s="105" t="str">
        <f>IF(OR(ISBLANK(Term4_Early_Dismissal_6[[#This Row],[Start]]),ISBLANK(Term4_Early_Dismissal_6[[#This Row],[End]])),"",(Term4_Early_Dismissal_6[[#This Row],[End]]-Term4_Early_Dismissal_6[[#This Row],[Start]])*1440)</f>
        <v/>
      </c>
      <c r="AO62" s="105" t="str">
        <f>IF(ISBLANK(Term4_Early_Dismissal_6[[#This Row],[Activity]]),"",IF(_xlfn.XLOOKUP(Term4_Early_Dismissal_6[[#This Row],[Activity]],Types_of_Activity[Type of Activity],Types_of_Activity[Classification])=1,Term4_Early_Dismissal_6[[#This Row],[Elapsed]],0))</f>
        <v/>
      </c>
      <c r="AP62" s="105" t="str">
        <f>IF(ISBLANK(Term4_Early_Dismissal_6[[#This Row],[Activity]]),"",IF(_xlfn.XLOOKUP(Term4_Early_Dismissal_6[[#This Row],[Activity]],Types_of_Activity[Type of Activity],Types_of_Activity[Classification])=2,Term4_Early_Dismissal_6[[#This Row],[Elapsed]],0))</f>
        <v/>
      </c>
    </row>
    <row r="63" spans="2:71" x14ac:dyDescent="0.3">
      <c r="B63" s="135"/>
      <c r="C63" s="135"/>
      <c r="D63" s="102"/>
      <c r="E63" s="105" t="str">
        <f>IF(OR(ISBLANK(Term4_Early_Dismissal_1[[#This Row],[Start]]),ISBLANK(Term4_Early_Dismissal_1[[#This Row],[End]])),"",(Term4_Early_Dismissal_1[[#This Row],[End]]-Term4_Early_Dismissal_1[[#This Row],[Start]])*1440)</f>
        <v/>
      </c>
      <c r="F63" s="105" t="str">
        <f>IF(ISBLANK(Term4_Early_Dismissal_1[[#This Row],[Activity]]),"",IF(_xlfn.XLOOKUP(Term4_Early_Dismissal_1[[#This Row],[Activity]],Types_of_Activity[Type of Activity],Types_of_Activity[Classification])=1,Term4_Early_Dismissal_1[[#This Row],[Elapsed]],0))</f>
        <v/>
      </c>
      <c r="G63" s="105" t="str">
        <f>IF(ISBLANK(Term4_Early_Dismissal_1[[#This Row],[Activity]]),"",IF(_xlfn.XLOOKUP(Term4_Early_Dismissal_1[[#This Row],[Activity]],Types_of_Activity[Type of Activity],Types_of_Activity[Classification])=2,Term4_Early_Dismissal_1[[#This Row],[Elapsed]],0))</f>
        <v/>
      </c>
      <c r="H63"/>
      <c r="I63" s="135"/>
      <c r="J63" s="135"/>
      <c r="K63" s="102"/>
      <c r="L63" s="105" t="str">
        <f>IF(OR(ISBLANK(Term4_Early_Dismissal_2[[#This Row],[Start]]),ISBLANK(Term4_Early_Dismissal_2[[#This Row],[End]])),"",(Term4_Early_Dismissal_2[[#This Row],[End]]-Term4_Early_Dismissal_2[[#This Row],[Start]])*1440)</f>
        <v/>
      </c>
      <c r="M63" s="105" t="str">
        <f>IF(ISBLANK(Term4_Early_Dismissal_2[[#This Row],[Activity]]),"",IF(_xlfn.XLOOKUP(Term4_Early_Dismissal_2[[#This Row],[Activity]],Types_of_Activity[Type of Activity],Types_of_Activity[Classification])=1,Term4_Early_Dismissal_2[[#This Row],[Elapsed]],0))</f>
        <v/>
      </c>
      <c r="N63" s="105" t="str">
        <f>IF(ISBLANK(Term4_Early_Dismissal_2[[#This Row],[Activity]]),"",IF(_xlfn.XLOOKUP(Term4_Early_Dismissal_2[[#This Row],[Activity]],Types_of_Activity[Type of Activity],Types_of_Activity[Classification])=2,Term4_Early_Dismissal_2[[#This Row],[Elapsed]],0))</f>
        <v/>
      </c>
      <c r="O63"/>
      <c r="P63" s="135"/>
      <c r="Q63" s="135"/>
      <c r="R63" s="102"/>
      <c r="S63" s="105" t="str">
        <f>IF(OR(ISBLANK(Term4_Early_Dismissal_3[[#This Row],[Start]]),ISBLANK(Term4_Early_Dismissal_3[[#This Row],[End]])),"",(Term4_Early_Dismissal_3[[#This Row],[End]]-Term4_Early_Dismissal_3[[#This Row],[Start]])*1440)</f>
        <v/>
      </c>
      <c r="T63" s="105" t="str">
        <f>IF(ISBLANK(Term4_Early_Dismissal_3[[#This Row],[Activity]]),"",IF(_xlfn.XLOOKUP(Term4_Early_Dismissal_3[[#This Row],[Activity]],Types_of_Activity[Type of Activity],Types_of_Activity[Classification])=1,Term4_Early_Dismissal_3[[#This Row],[Elapsed]],0))</f>
        <v/>
      </c>
      <c r="U63" s="105" t="str">
        <f>IF(ISBLANK(Term4_Early_Dismissal_3[[#This Row],[Activity]]),"",IF(_xlfn.XLOOKUP(Term4_Early_Dismissal_3[[#This Row],[Activity]],Types_of_Activity[Type of Activity],Types_of_Activity[Classification])=2,Term4_Early_Dismissal_3[[#This Row],[Elapsed]],0))</f>
        <v/>
      </c>
      <c r="W63" s="135"/>
      <c r="X63" s="135"/>
      <c r="Y63" s="102"/>
      <c r="Z63" s="105" t="str">
        <f>IF(OR(ISBLANK(Term4_Early_Dismissal_4[[#This Row],[Start]]),ISBLANK(Term4_Early_Dismissal_4[[#This Row],[End]])),"",(Term4_Early_Dismissal_4[[#This Row],[End]]-Term4_Early_Dismissal_4[[#This Row],[Start]])*1440)</f>
        <v/>
      </c>
      <c r="AA63" s="105" t="str">
        <f>IF(ISBLANK(Term4_Early_Dismissal_4[[#This Row],[Activity]]),"",IF(_xlfn.XLOOKUP(Term4_Early_Dismissal_4[[#This Row],[Activity]],Types_of_Activity[Type of Activity],Types_of_Activity[Classification])=1,Term4_Early_Dismissal_4[[#This Row],[Elapsed]],0))</f>
        <v/>
      </c>
      <c r="AB63" s="105" t="str">
        <f>IF(ISBLANK(Term4_Early_Dismissal_4[[#This Row],[Activity]]),"",IF(_xlfn.XLOOKUP(Term4_Early_Dismissal_4[[#This Row],[Activity]],Types_of_Activity[Type of Activity],Types_of_Activity[Classification])=2,Term4_Early_Dismissal_4[[#This Row],[Elapsed]],0))</f>
        <v/>
      </c>
      <c r="AD63" s="135"/>
      <c r="AE63" s="135"/>
      <c r="AF63" s="102"/>
      <c r="AG63" s="105" t="str">
        <f>IF(OR(ISBLANK(Term4_Early_Dismissal_5[[#This Row],[Start]]),ISBLANK(Term4_Early_Dismissal_5[[#This Row],[End]])),"",(Term4_Early_Dismissal_5[[#This Row],[End]]-Term4_Early_Dismissal_5[[#This Row],[Start]])*1440)</f>
        <v/>
      </c>
      <c r="AH63" s="105" t="str">
        <f>IF(ISBLANK(Term4_Early_Dismissal_5[[#This Row],[Activity]]),"",IF(_xlfn.XLOOKUP(Term4_Early_Dismissal_5[[#This Row],[Activity]],Types_of_Activity[Type of Activity],Types_of_Activity[Classification])=1,Term4_Early_Dismissal_5[[#This Row],[Elapsed]],0))</f>
        <v/>
      </c>
      <c r="AI63" s="105" t="str">
        <f>IF(ISBLANK(Term4_Early_Dismissal_5[[#This Row],[Activity]]),"",IF(_xlfn.XLOOKUP(Term4_Early_Dismissal_5[[#This Row],[Activity]],Types_of_Activity[Type of Activity],Types_of_Activity[Classification])=2,Term4_Early_Dismissal_5[[#This Row],[Elapsed]],0))</f>
        <v/>
      </c>
      <c r="AK63" s="135"/>
      <c r="AL63" s="135"/>
      <c r="AM63" s="102"/>
      <c r="AN63" s="105" t="str">
        <f>IF(OR(ISBLANK(Term4_Early_Dismissal_6[[#This Row],[Start]]),ISBLANK(Term4_Early_Dismissal_6[[#This Row],[End]])),"",(Term4_Early_Dismissal_6[[#This Row],[End]]-Term4_Early_Dismissal_6[[#This Row],[Start]])*1440)</f>
        <v/>
      </c>
      <c r="AO63" s="105" t="str">
        <f>IF(ISBLANK(Term4_Early_Dismissal_6[[#This Row],[Activity]]),"",IF(_xlfn.XLOOKUP(Term4_Early_Dismissal_6[[#This Row],[Activity]],Types_of_Activity[Type of Activity],Types_of_Activity[Classification])=1,Term4_Early_Dismissal_6[[#This Row],[Elapsed]],0))</f>
        <v/>
      </c>
      <c r="AP63" s="105" t="str">
        <f>IF(ISBLANK(Term4_Early_Dismissal_6[[#This Row],[Activity]]),"",IF(_xlfn.XLOOKUP(Term4_Early_Dismissal_6[[#This Row],[Activity]],Types_of_Activity[Type of Activity],Types_of_Activity[Classification])=2,Term4_Early_Dismissal_6[[#This Row],[Elapsed]],0))</f>
        <v/>
      </c>
    </row>
    <row r="64" spans="2:71" x14ac:dyDescent="0.3">
      <c r="B64" s="135"/>
      <c r="C64" s="135"/>
      <c r="D64" s="102"/>
      <c r="E64" s="105" t="str">
        <f>IF(OR(ISBLANK(Term4_Early_Dismissal_1[[#This Row],[Start]]),ISBLANK(Term4_Early_Dismissal_1[[#This Row],[End]])),"",(Term4_Early_Dismissal_1[[#This Row],[End]]-Term4_Early_Dismissal_1[[#This Row],[Start]])*1440)</f>
        <v/>
      </c>
      <c r="F64" s="105" t="str">
        <f>IF(ISBLANK(Term4_Early_Dismissal_1[[#This Row],[Activity]]),"",IF(_xlfn.XLOOKUP(Term4_Early_Dismissal_1[[#This Row],[Activity]],Types_of_Activity[Type of Activity],Types_of_Activity[Classification])=1,Term4_Early_Dismissal_1[[#This Row],[Elapsed]],0))</f>
        <v/>
      </c>
      <c r="G64" s="105" t="str">
        <f>IF(ISBLANK(Term4_Early_Dismissal_1[[#This Row],[Activity]]),"",IF(_xlfn.XLOOKUP(Term4_Early_Dismissal_1[[#This Row],[Activity]],Types_of_Activity[Type of Activity],Types_of_Activity[Classification])=2,Term4_Early_Dismissal_1[[#This Row],[Elapsed]],0))</f>
        <v/>
      </c>
      <c r="H64"/>
      <c r="I64" s="135"/>
      <c r="J64" s="135"/>
      <c r="K64" s="102"/>
      <c r="L64" s="105" t="str">
        <f>IF(OR(ISBLANK(Term4_Early_Dismissal_2[[#This Row],[Start]]),ISBLANK(Term4_Early_Dismissal_2[[#This Row],[End]])),"",(Term4_Early_Dismissal_2[[#This Row],[End]]-Term4_Early_Dismissal_2[[#This Row],[Start]])*1440)</f>
        <v/>
      </c>
      <c r="M64" s="105" t="str">
        <f>IF(ISBLANK(Term4_Early_Dismissal_2[[#This Row],[Activity]]),"",IF(_xlfn.XLOOKUP(Term4_Early_Dismissal_2[[#This Row],[Activity]],Types_of_Activity[Type of Activity],Types_of_Activity[Classification])=1,Term4_Early_Dismissal_2[[#This Row],[Elapsed]],0))</f>
        <v/>
      </c>
      <c r="N64" s="105" t="str">
        <f>IF(ISBLANK(Term4_Early_Dismissal_2[[#This Row],[Activity]]),"",IF(_xlfn.XLOOKUP(Term4_Early_Dismissal_2[[#This Row],[Activity]],Types_of_Activity[Type of Activity],Types_of_Activity[Classification])=2,Term4_Early_Dismissal_2[[#This Row],[Elapsed]],0))</f>
        <v/>
      </c>
      <c r="O64"/>
      <c r="P64" s="135"/>
      <c r="Q64" s="135"/>
      <c r="R64" s="102"/>
      <c r="S64" s="105" t="str">
        <f>IF(OR(ISBLANK(Term4_Early_Dismissal_3[[#This Row],[Start]]),ISBLANK(Term4_Early_Dismissal_3[[#This Row],[End]])),"",(Term4_Early_Dismissal_3[[#This Row],[End]]-Term4_Early_Dismissal_3[[#This Row],[Start]])*1440)</f>
        <v/>
      </c>
      <c r="T64" s="105" t="str">
        <f>IF(ISBLANK(Term4_Early_Dismissal_3[[#This Row],[Activity]]),"",IF(_xlfn.XLOOKUP(Term4_Early_Dismissal_3[[#This Row],[Activity]],Types_of_Activity[Type of Activity],Types_of_Activity[Classification])=1,Term4_Early_Dismissal_3[[#This Row],[Elapsed]],0))</f>
        <v/>
      </c>
      <c r="U64" s="105" t="str">
        <f>IF(ISBLANK(Term4_Early_Dismissal_3[[#This Row],[Activity]]),"",IF(_xlfn.XLOOKUP(Term4_Early_Dismissal_3[[#This Row],[Activity]],Types_of_Activity[Type of Activity],Types_of_Activity[Classification])=2,Term4_Early_Dismissal_3[[#This Row],[Elapsed]],0))</f>
        <v/>
      </c>
      <c r="W64" s="135"/>
      <c r="X64" s="135"/>
      <c r="Y64" s="102"/>
      <c r="Z64" s="105" t="str">
        <f>IF(OR(ISBLANK(Term4_Early_Dismissal_4[[#This Row],[Start]]),ISBLANK(Term4_Early_Dismissal_4[[#This Row],[End]])),"",(Term4_Early_Dismissal_4[[#This Row],[End]]-Term4_Early_Dismissal_4[[#This Row],[Start]])*1440)</f>
        <v/>
      </c>
      <c r="AA64" s="105" t="str">
        <f>IF(ISBLANK(Term4_Early_Dismissal_4[[#This Row],[Activity]]),"",IF(_xlfn.XLOOKUP(Term4_Early_Dismissal_4[[#This Row],[Activity]],Types_of_Activity[Type of Activity],Types_of_Activity[Classification])=1,Term4_Early_Dismissal_4[[#This Row],[Elapsed]],0))</f>
        <v/>
      </c>
      <c r="AB64" s="105" t="str">
        <f>IF(ISBLANK(Term4_Early_Dismissal_4[[#This Row],[Activity]]),"",IF(_xlfn.XLOOKUP(Term4_Early_Dismissal_4[[#This Row],[Activity]],Types_of_Activity[Type of Activity],Types_of_Activity[Classification])=2,Term4_Early_Dismissal_4[[#This Row],[Elapsed]],0))</f>
        <v/>
      </c>
      <c r="AD64" s="135"/>
      <c r="AE64" s="135"/>
      <c r="AF64" s="102"/>
      <c r="AG64" s="105" t="str">
        <f>IF(OR(ISBLANK(Term4_Early_Dismissal_5[[#This Row],[Start]]),ISBLANK(Term4_Early_Dismissal_5[[#This Row],[End]])),"",(Term4_Early_Dismissal_5[[#This Row],[End]]-Term4_Early_Dismissal_5[[#This Row],[Start]])*1440)</f>
        <v/>
      </c>
      <c r="AH64" s="105" t="str">
        <f>IF(ISBLANK(Term4_Early_Dismissal_5[[#This Row],[Activity]]),"",IF(_xlfn.XLOOKUP(Term4_Early_Dismissal_5[[#This Row],[Activity]],Types_of_Activity[Type of Activity],Types_of_Activity[Classification])=1,Term4_Early_Dismissal_5[[#This Row],[Elapsed]],0))</f>
        <v/>
      </c>
      <c r="AI64" s="105" t="str">
        <f>IF(ISBLANK(Term4_Early_Dismissal_5[[#This Row],[Activity]]),"",IF(_xlfn.XLOOKUP(Term4_Early_Dismissal_5[[#This Row],[Activity]],Types_of_Activity[Type of Activity],Types_of_Activity[Classification])=2,Term4_Early_Dismissal_5[[#This Row],[Elapsed]],0))</f>
        <v/>
      </c>
      <c r="AK64" s="135"/>
      <c r="AL64" s="135"/>
      <c r="AM64" s="102"/>
      <c r="AN64" s="105" t="str">
        <f>IF(OR(ISBLANK(Term4_Early_Dismissal_6[[#This Row],[Start]]),ISBLANK(Term4_Early_Dismissal_6[[#This Row],[End]])),"",(Term4_Early_Dismissal_6[[#This Row],[End]]-Term4_Early_Dismissal_6[[#This Row],[Start]])*1440)</f>
        <v/>
      </c>
      <c r="AO64" s="105" t="str">
        <f>IF(ISBLANK(Term4_Early_Dismissal_6[[#This Row],[Activity]]),"",IF(_xlfn.XLOOKUP(Term4_Early_Dismissal_6[[#This Row],[Activity]],Types_of_Activity[Type of Activity],Types_of_Activity[Classification])=1,Term4_Early_Dismissal_6[[#This Row],[Elapsed]],0))</f>
        <v/>
      </c>
      <c r="AP64" s="105" t="str">
        <f>IF(ISBLANK(Term4_Early_Dismissal_6[[#This Row],[Activity]]),"",IF(_xlfn.XLOOKUP(Term4_Early_Dismissal_6[[#This Row],[Activity]],Types_of_Activity[Type of Activity],Types_of_Activity[Classification])=2,Term4_Early_Dismissal_6[[#This Row],[Elapsed]],0))</f>
        <v/>
      </c>
    </row>
    <row r="65" spans="2:42" x14ac:dyDescent="0.3">
      <c r="B65" s="135"/>
      <c r="C65" s="135"/>
      <c r="D65" s="102"/>
      <c r="E65" s="105" t="str">
        <f>IF(OR(ISBLANK(Term4_Early_Dismissal_1[[#This Row],[Start]]),ISBLANK(Term4_Early_Dismissal_1[[#This Row],[End]])),"",(Term4_Early_Dismissal_1[[#This Row],[End]]-Term4_Early_Dismissal_1[[#This Row],[Start]])*1440)</f>
        <v/>
      </c>
      <c r="F65" s="105" t="str">
        <f>IF(ISBLANK(Term4_Early_Dismissal_1[[#This Row],[Activity]]),"",IF(_xlfn.XLOOKUP(Term4_Early_Dismissal_1[[#This Row],[Activity]],Types_of_Activity[Type of Activity],Types_of_Activity[Classification])=1,Term4_Early_Dismissal_1[[#This Row],[Elapsed]],0))</f>
        <v/>
      </c>
      <c r="G65" s="105" t="str">
        <f>IF(ISBLANK(Term4_Early_Dismissal_1[[#This Row],[Activity]]),"",IF(_xlfn.XLOOKUP(Term4_Early_Dismissal_1[[#This Row],[Activity]],Types_of_Activity[Type of Activity],Types_of_Activity[Classification])=2,Term4_Early_Dismissal_1[[#This Row],[Elapsed]],0))</f>
        <v/>
      </c>
      <c r="H65"/>
      <c r="I65" s="135"/>
      <c r="J65" s="135"/>
      <c r="K65" s="102"/>
      <c r="L65" s="105" t="str">
        <f>IF(OR(ISBLANK(Term4_Early_Dismissal_2[[#This Row],[Start]]),ISBLANK(Term4_Early_Dismissal_2[[#This Row],[End]])),"",(Term4_Early_Dismissal_2[[#This Row],[End]]-Term4_Early_Dismissal_2[[#This Row],[Start]])*1440)</f>
        <v/>
      </c>
      <c r="M65" s="105" t="str">
        <f>IF(ISBLANK(Term4_Early_Dismissal_2[[#This Row],[Activity]]),"",IF(_xlfn.XLOOKUP(Term4_Early_Dismissal_2[[#This Row],[Activity]],Types_of_Activity[Type of Activity],Types_of_Activity[Classification])=1,Term4_Early_Dismissal_2[[#This Row],[Elapsed]],0))</f>
        <v/>
      </c>
      <c r="N65" s="105" t="str">
        <f>IF(ISBLANK(Term4_Early_Dismissal_2[[#This Row],[Activity]]),"",IF(_xlfn.XLOOKUP(Term4_Early_Dismissal_2[[#This Row],[Activity]],Types_of_Activity[Type of Activity],Types_of_Activity[Classification])=2,Term4_Early_Dismissal_2[[#This Row],[Elapsed]],0))</f>
        <v/>
      </c>
      <c r="O65"/>
      <c r="P65" s="135"/>
      <c r="Q65" s="135"/>
      <c r="R65" s="102"/>
      <c r="S65" s="105" t="str">
        <f>IF(OR(ISBLANK(Term4_Early_Dismissal_3[[#This Row],[Start]]),ISBLANK(Term4_Early_Dismissal_3[[#This Row],[End]])),"",(Term4_Early_Dismissal_3[[#This Row],[End]]-Term4_Early_Dismissal_3[[#This Row],[Start]])*1440)</f>
        <v/>
      </c>
      <c r="T65" s="105" t="str">
        <f>IF(ISBLANK(Term4_Early_Dismissal_3[[#This Row],[Activity]]),"",IF(_xlfn.XLOOKUP(Term4_Early_Dismissal_3[[#This Row],[Activity]],Types_of_Activity[Type of Activity],Types_of_Activity[Classification])=1,Term4_Early_Dismissal_3[[#This Row],[Elapsed]],0))</f>
        <v/>
      </c>
      <c r="U65" s="105" t="str">
        <f>IF(ISBLANK(Term4_Early_Dismissal_3[[#This Row],[Activity]]),"",IF(_xlfn.XLOOKUP(Term4_Early_Dismissal_3[[#This Row],[Activity]],Types_of_Activity[Type of Activity],Types_of_Activity[Classification])=2,Term4_Early_Dismissal_3[[#This Row],[Elapsed]],0))</f>
        <v/>
      </c>
      <c r="W65" s="135"/>
      <c r="X65" s="135"/>
      <c r="Y65" s="102"/>
      <c r="Z65" s="105" t="str">
        <f>IF(OR(ISBLANK(Term4_Early_Dismissal_4[[#This Row],[Start]]),ISBLANK(Term4_Early_Dismissal_4[[#This Row],[End]])),"",(Term4_Early_Dismissal_4[[#This Row],[End]]-Term4_Early_Dismissal_4[[#This Row],[Start]])*1440)</f>
        <v/>
      </c>
      <c r="AA65" s="105" t="str">
        <f>IF(ISBLANK(Term4_Early_Dismissal_4[[#This Row],[Activity]]),"",IF(_xlfn.XLOOKUP(Term4_Early_Dismissal_4[[#This Row],[Activity]],Types_of_Activity[Type of Activity],Types_of_Activity[Classification])=1,Term4_Early_Dismissal_4[[#This Row],[Elapsed]],0))</f>
        <v/>
      </c>
      <c r="AB65" s="105" t="str">
        <f>IF(ISBLANK(Term4_Early_Dismissal_4[[#This Row],[Activity]]),"",IF(_xlfn.XLOOKUP(Term4_Early_Dismissal_4[[#This Row],[Activity]],Types_of_Activity[Type of Activity],Types_of_Activity[Classification])=2,Term4_Early_Dismissal_4[[#This Row],[Elapsed]],0))</f>
        <v/>
      </c>
      <c r="AD65" s="135"/>
      <c r="AE65" s="135"/>
      <c r="AF65" s="102"/>
      <c r="AG65" s="105" t="str">
        <f>IF(OR(ISBLANK(Term4_Early_Dismissal_5[[#This Row],[Start]]),ISBLANK(Term4_Early_Dismissal_5[[#This Row],[End]])),"",(Term4_Early_Dismissal_5[[#This Row],[End]]-Term4_Early_Dismissal_5[[#This Row],[Start]])*1440)</f>
        <v/>
      </c>
      <c r="AH65" s="105" t="str">
        <f>IF(ISBLANK(Term4_Early_Dismissal_5[[#This Row],[Activity]]),"",IF(_xlfn.XLOOKUP(Term4_Early_Dismissal_5[[#This Row],[Activity]],Types_of_Activity[Type of Activity],Types_of_Activity[Classification])=1,Term4_Early_Dismissal_5[[#This Row],[Elapsed]],0))</f>
        <v/>
      </c>
      <c r="AI65" s="105" t="str">
        <f>IF(ISBLANK(Term4_Early_Dismissal_5[[#This Row],[Activity]]),"",IF(_xlfn.XLOOKUP(Term4_Early_Dismissal_5[[#This Row],[Activity]],Types_of_Activity[Type of Activity],Types_of_Activity[Classification])=2,Term4_Early_Dismissal_5[[#This Row],[Elapsed]],0))</f>
        <v/>
      </c>
      <c r="AK65" s="135"/>
      <c r="AL65" s="135"/>
      <c r="AM65" s="102"/>
      <c r="AN65" s="105" t="str">
        <f>IF(OR(ISBLANK(Term4_Early_Dismissal_6[[#This Row],[Start]]),ISBLANK(Term4_Early_Dismissal_6[[#This Row],[End]])),"",(Term4_Early_Dismissal_6[[#This Row],[End]]-Term4_Early_Dismissal_6[[#This Row],[Start]])*1440)</f>
        <v/>
      </c>
      <c r="AO65" s="105" t="str">
        <f>IF(ISBLANK(Term4_Early_Dismissal_6[[#This Row],[Activity]]),"",IF(_xlfn.XLOOKUP(Term4_Early_Dismissal_6[[#This Row],[Activity]],Types_of_Activity[Type of Activity],Types_of_Activity[Classification])=1,Term4_Early_Dismissal_6[[#This Row],[Elapsed]],0))</f>
        <v/>
      </c>
      <c r="AP65" s="105" t="str">
        <f>IF(ISBLANK(Term4_Early_Dismissal_6[[#This Row],[Activity]]),"",IF(_xlfn.XLOOKUP(Term4_Early_Dismissal_6[[#This Row],[Activity]],Types_of_Activity[Type of Activity],Types_of_Activity[Classification])=2,Term4_Early_Dismissal_6[[#This Row],[Elapsed]],0))</f>
        <v/>
      </c>
    </row>
    <row r="66" spans="2:42" x14ac:dyDescent="0.3">
      <c r="B66" s="135"/>
      <c r="C66" s="135"/>
      <c r="D66" s="102"/>
      <c r="E66" s="105" t="str">
        <f>IF(OR(ISBLANK(Term4_Early_Dismissal_1[[#This Row],[Start]]),ISBLANK(Term4_Early_Dismissal_1[[#This Row],[End]])),"",(Term4_Early_Dismissal_1[[#This Row],[End]]-Term4_Early_Dismissal_1[[#This Row],[Start]])*1440)</f>
        <v/>
      </c>
      <c r="F66" s="105" t="str">
        <f>IF(ISBLANK(Term4_Early_Dismissal_1[[#This Row],[Activity]]),"",IF(_xlfn.XLOOKUP(Term4_Early_Dismissal_1[[#This Row],[Activity]],Types_of_Activity[Type of Activity],Types_of_Activity[Classification])=1,Term4_Early_Dismissal_1[[#This Row],[Elapsed]],0))</f>
        <v/>
      </c>
      <c r="G66" s="105" t="str">
        <f>IF(ISBLANK(Term4_Early_Dismissal_1[[#This Row],[Activity]]),"",IF(_xlfn.XLOOKUP(Term4_Early_Dismissal_1[[#This Row],[Activity]],Types_of_Activity[Type of Activity],Types_of_Activity[Classification])=2,Term4_Early_Dismissal_1[[#This Row],[Elapsed]],0))</f>
        <v/>
      </c>
      <c r="H66"/>
      <c r="I66" s="135"/>
      <c r="J66" s="135"/>
      <c r="K66" s="102"/>
      <c r="L66" s="105" t="str">
        <f>IF(OR(ISBLANK(Term4_Early_Dismissal_2[[#This Row],[Start]]),ISBLANK(Term4_Early_Dismissal_2[[#This Row],[End]])),"",(Term4_Early_Dismissal_2[[#This Row],[End]]-Term4_Early_Dismissal_2[[#This Row],[Start]])*1440)</f>
        <v/>
      </c>
      <c r="M66" s="105" t="str">
        <f>IF(ISBLANK(Term4_Early_Dismissal_2[[#This Row],[Activity]]),"",IF(_xlfn.XLOOKUP(Term4_Early_Dismissal_2[[#This Row],[Activity]],Types_of_Activity[Type of Activity],Types_of_Activity[Classification])=1,Term4_Early_Dismissal_2[[#This Row],[Elapsed]],0))</f>
        <v/>
      </c>
      <c r="N66" s="105" t="str">
        <f>IF(ISBLANK(Term4_Early_Dismissal_2[[#This Row],[Activity]]),"",IF(_xlfn.XLOOKUP(Term4_Early_Dismissal_2[[#This Row],[Activity]],Types_of_Activity[Type of Activity],Types_of_Activity[Classification])=2,Term4_Early_Dismissal_2[[#This Row],[Elapsed]],0))</f>
        <v/>
      </c>
      <c r="O66"/>
      <c r="P66" s="135"/>
      <c r="Q66" s="135"/>
      <c r="R66" s="102"/>
      <c r="S66" s="105" t="str">
        <f>IF(OR(ISBLANK(Term4_Early_Dismissal_3[[#This Row],[Start]]),ISBLANK(Term4_Early_Dismissal_3[[#This Row],[End]])),"",(Term4_Early_Dismissal_3[[#This Row],[End]]-Term4_Early_Dismissal_3[[#This Row],[Start]])*1440)</f>
        <v/>
      </c>
      <c r="T66" s="105" t="str">
        <f>IF(ISBLANK(Term4_Early_Dismissal_3[[#This Row],[Activity]]),"",IF(_xlfn.XLOOKUP(Term4_Early_Dismissal_3[[#This Row],[Activity]],Types_of_Activity[Type of Activity],Types_of_Activity[Classification])=1,Term4_Early_Dismissal_3[[#This Row],[Elapsed]],0))</f>
        <v/>
      </c>
      <c r="U66" s="105" t="str">
        <f>IF(ISBLANK(Term4_Early_Dismissal_3[[#This Row],[Activity]]),"",IF(_xlfn.XLOOKUP(Term4_Early_Dismissal_3[[#This Row],[Activity]],Types_of_Activity[Type of Activity],Types_of_Activity[Classification])=2,Term4_Early_Dismissal_3[[#This Row],[Elapsed]],0))</f>
        <v/>
      </c>
      <c r="W66" s="135"/>
      <c r="X66" s="135"/>
      <c r="Y66" s="102"/>
      <c r="Z66" s="105" t="str">
        <f>IF(OR(ISBLANK(Term4_Early_Dismissal_4[[#This Row],[Start]]),ISBLANK(Term4_Early_Dismissal_4[[#This Row],[End]])),"",(Term4_Early_Dismissal_4[[#This Row],[End]]-Term4_Early_Dismissal_4[[#This Row],[Start]])*1440)</f>
        <v/>
      </c>
      <c r="AA66" s="105" t="str">
        <f>IF(ISBLANK(Term4_Early_Dismissal_4[[#This Row],[Activity]]),"",IF(_xlfn.XLOOKUP(Term4_Early_Dismissal_4[[#This Row],[Activity]],Types_of_Activity[Type of Activity],Types_of_Activity[Classification])=1,Term4_Early_Dismissal_4[[#This Row],[Elapsed]],0))</f>
        <v/>
      </c>
      <c r="AB66" s="105" t="str">
        <f>IF(ISBLANK(Term4_Early_Dismissal_4[[#This Row],[Activity]]),"",IF(_xlfn.XLOOKUP(Term4_Early_Dismissal_4[[#This Row],[Activity]],Types_of_Activity[Type of Activity],Types_of_Activity[Classification])=2,Term4_Early_Dismissal_4[[#This Row],[Elapsed]],0))</f>
        <v/>
      </c>
      <c r="AD66" s="135"/>
      <c r="AE66" s="135"/>
      <c r="AF66" s="102"/>
      <c r="AG66" s="105" t="str">
        <f>IF(OR(ISBLANK(Term4_Early_Dismissal_5[[#This Row],[Start]]),ISBLANK(Term4_Early_Dismissal_5[[#This Row],[End]])),"",(Term4_Early_Dismissal_5[[#This Row],[End]]-Term4_Early_Dismissal_5[[#This Row],[Start]])*1440)</f>
        <v/>
      </c>
      <c r="AH66" s="105" t="str">
        <f>IF(ISBLANK(Term4_Early_Dismissal_5[[#This Row],[Activity]]),"",IF(_xlfn.XLOOKUP(Term4_Early_Dismissal_5[[#This Row],[Activity]],Types_of_Activity[Type of Activity],Types_of_Activity[Classification])=1,Term4_Early_Dismissal_5[[#This Row],[Elapsed]],0))</f>
        <v/>
      </c>
      <c r="AI66" s="105" t="str">
        <f>IF(ISBLANK(Term4_Early_Dismissal_5[[#This Row],[Activity]]),"",IF(_xlfn.XLOOKUP(Term4_Early_Dismissal_5[[#This Row],[Activity]],Types_of_Activity[Type of Activity],Types_of_Activity[Classification])=2,Term4_Early_Dismissal_5[[#This Row],[Elapsed]],0))</f>
        <v/>
      </c>
      <c r="AK66" s="135"/>
      <c r="AL66" s="135"/>
      <c r="AM66" s="102"/>
      <c r="AN66" s="105" t="str">
        <f>IF(OR(ISBLANK(Term4_Early_Dismissal_6[[#This Row],[Start]]),ISBLANK(Term4_Early_Dismissal_6[[#This Row],[End]])),"",(Term4_Early_Dismissal_6[[#This Row],[End]]-Term4_Early_Dismissal_6[[#This Row],[Start]])*1440)</f>
        <v/>
      </c>
      <c r="AO66" s="105" t="str">
        <f>IF(ISBLANK(Term4_Early_Dismissal_6[[#This Row],[Activity]]),"",IF(_xlfn.XLOOKUP(Term4_Early_Dismissal_6[[#This Row],[Activity]],Types_of_Activity[Type of Activity],Types_of_Activity[Classification])=1,Term4_Early_Dismissal_6[[#This Row],[Elapsed]],0))</f>
        <v/>
      </c>
      <c r="AP66" s="105" t="str">
        <f>IF(ISBLANK(Term4_Early_Dismissal_6[[#This Row],[Activity]]),"",IF(_xlfn.XLOOKUP(Term4_Early_Dismissal_6[[#This Row],[Activity]],Types_of_Activity[Type of Activity],Types_of_Activity[Classification])=2,Term4_Early_Dismissal_6[[#This Row],[Elapsed]],0))</f>
        <v/>
      </c>
    </row>
    <row r="67" spans="2:42" x14ac:dyDescent="0.3">
      <c r="B67" s="135"/>
      <c r="C67" s="135"/>
      <c r="D67" s="102"/>
      <c r="E67" s="105" t="str">
        <f>IF(OR(ISBLANK(Term4_Early_Dismissal_1[[#This Row],[Start]]),ISBLANK(Term4_Early_Dismissal_1[[#This Row],[End]])),"",(Term4_Early_Dismissal_1[[#This Row],[End]]-Term4_Early_Dismissal_1[[#This Row],[Start]])*1440)</f>
        <v/>
      </c>
      <c r="F67" s="105" t="str">
        <f>IF(ISBLANK(Term4_Early_Dismissal_1[[#This Row],[Activity]]),"",IF(_xlfn.XLOOKUP(Term4_Early_Dismissal_1[[#This Row],[Activity]],Types_of_Activity[Type of Activity],Types_of_Activity[Classification])=1,Term4_Early_Dismissal_1[[#This Row],[Elapsed]],0))</f>
        <v/>
      </c>
      <c r="G67" s="105" t="str">
        <f>IF(ISBLANK(Term4_Early_Dismissal_1[[#This Row],[Activity]]),"",IF(_xlfn.XLOOKUP(Term4_Early_Dismissal_1[[#This Row],[Activity]],Types_of_Activity[Type of Activity],Types_of_Activity[Classification])=2,Term4_Early_Dismissal_1[[#This Row],[Elapsed]],0))</f>
        <v/>
      </c>
      <c r="H67"/>
      <c r="I67" s="135"/>
      <c r="J67" s="135"/>
      <c r="K67" s="102"/>
      <c r="L67" s="105" t="str">
        <f>IF(OR(ISBLANK(Term4_Early_Dismissal_2[[#This Row],[Start]]),ISBLANK(Term4_Early_Dismissal_2[[#This Row],[End]])),"",(Term4_Early_Dismissal_2[[#This Row],[End]]-Term4_Early_Dismissal_2[[#This Row],[Start]])*1440)</f>
        <v/>
      </c>
      <c r="M67" s="105" t="str">
        <f>IF(ISBLANK(Term4_Early_Dismissal_2[[#This Row],[Activity]]),"",IF(_xlfn.XLOOKUP(Term4_Early_Dismissal_2[[#This Row],[Activity]],Types_of_Activity[Type of Activity],Types_of_Activity[Classification])=1,Term4_Early_Dismissal_2[[#This Row],[Elapsed]],0))</f>
        <v/>
      </c>
      <c r="N67" s="105" t="str">
        <f>IF(ISBLANK(Term4_Early_Dismissal_2[[#This Row],[Activity]]),"",IF(_xlfn.XLOOKUP(Term4_Early_Dismissal_2[[#This Row],[Activity]],Types_of_Activity[Type of Activity],Types_of_Activity[Classification])=2,Term4_Early_Dismissal_2[[#This Row],[Elapsed]],0))</f>
        <v/>
      </c>
      <c r="O67"/>
      <c r="P67" s="135"/>
      <c r="Q67" s="135"/>
      <c r="R67" s="102"/>
      <c r="S67" s="105" t="str">
        <f>IF(OR(ISBLANK(Term4_Early_Dismissal_3[[#This Row],[Start]]),ISBLANK(Term4_Early_Dismissal_3[[#This Row],[End]])),"",(Term4_Early_Dismissal_3[[#This Row],[End]]-Term4_Early_Dismissal_3[[#This Row],[Start]])*1440)</f>
        <v/>
      </c>
      <c r="T67" s="105" t="str">
        <f>IF(ISBLANK(Term4_Early_Dismissal_3[[#This Row],[Activity]]),"",IF(_xlfn.XLOOKUP(Term4_Early_Dismissal_3[[#This Row],[Activity]],Types_of_Activity[Type of Activity],Types_of_Activity[Classification])=1,Term4_Early_Dismissal_3[[#This Row],[Elapsed]],0))</f>
        <v/>
      </c>
      <c r="U67" s="105" t="str">
        <f>IF(ISBLANK(Term4_Early_Dismissal_3[[#This Row],[Activity]]),"",IF(_xlfn.XLOOKUP(Term4_Early_Dismissal_3[[#This Row],[Activity]],Types_of_Activity[Type of Activity],Types_of_Activity[Classification])=2,Term4_Early_Dismissal_3[[#This Row],[Elapsed]],0))</f>
        <v/>
      </c>
      <c r="W67" s="135"/>
      <c r="X67" s="135"/>
      <c r="Y67" s="102"/>
      <c r="Z67" s="105" t="str">
        <f>IF(OR(ISBLANK(Term4_Early_Dismissal_4[[#This Row],[Start]]),ISBLANK(Term4_Early_Dismissal_4[[#This Row],[End]])),"",(Term4_Early_Dismissal_4[[#This Row],[End]]-Term4_Early_Dismissal_4[[#This Row],[Start]])*1440)</f>
        <v/>
      </c>
      <c r="AA67" s="105" t="str">
        <f>IF(ISBLANK(Term4_Early_Dismissal_4[[#This Row],[Activity]]),"",IF(_xlfn.XLOOKUP(Term4_Early_Dismissal_4[[#This Row],[Activity]],Types_of_Activity[Type of Activity],Types_of_Activity[Classification])=1,Term4_Early_Dismissal_4[[#This Row],[Elapsed]],0))</f>
        <v/>
      </c>
      <c r="AB67" s="105" t="str">
        <f>IF(ISBLANK(Term4_Early_Dismissal_4[[#This Row],[Activity]]),"",IF(_xlfn.XLOOKUP(Term4_Early_Dismissal_4[[#This Row],[Activity]],Types_of_Activity[Type of Activity],Types_of_Activity[Classification])=2,Term4_Early_Dismissal_4[[#This Row],[Elapsed]],0))</f>
        <v/>
      </c>
      <c r="AD67" s="135"/>
      <c r="AE67" s="135"/>
      <c r="AF67" s="102"/>
      <c r="AG67" s="105" t="str">
        <f>IF(OR(ISBLANK(Term4_Early_Dismissal_5[[#This Row],[Start]]),ISBLANK(Term4_Early_Dismissal_5[[#This Row],[End]])),"",(Term4_Early_Dismissal_5[[#This Row],[End]]-Term4_Early_Dismissal_5[[#This Row],[Start]])*1440)</f>
        <v/>
      </c>
      <c r="AH67" s="105" t="str">
        <f>IF(ISBLANK(Term4_Early_Dismissal_5[[#This Row],[Activity]]),"",IF(_xlfn.XLOOKUP(Term4_Early_Dismissal_5[[#This Row],[Activity]],Types_of_Activity[Type of Activity],Types_of_Activity[Classification])=1,Term4_Early_Dismissal_5[[#This Row],[Elapsed]],0))</f>
        <v/>
      </c>
      <c r="AI67" s="105" t="str">
        <f>IF(ISBLANK(Term4_Early_Dismissal_5[[#This Row],[Activity]]),"",IF(_xlfn.XLOOKUP(Term4_Early_Dismissal_5[[#This Row],[Activity]],Types_of_Activity[Type of Activity],Types_of_Activity[Classification])=2,Term4_Early_Dismissal_5[[#This Row],[Elapsed]],0))</f>
        <v/>
      </c>
      <c r="AK67" s="135"/>
      <c r="AL67" s="135"/>
      <c r="AM67" s="102"/>
      <c r="AN67" s="105" t="str">
        <f>IF(OR(ISBLANK(Term4_Early_Dismissal_6[[#This Row],[Start]]),ISBLANK(Term4_Early_Dismissal_6[[#This Row],[End]])),"",(Term4_Early_Dismissal_6[[#This Row],[End]]-Term4_Early_Dismissal_6[[#This Row],[Start]])*1440)</f>
        <v/>
      </c>
      <c r="AO67" s="105" t="str">
        <f>IF(ISBLANK(Term4_Early_Dismissal_6[[#This Row],[Activity]]),"",IF(_xlfn.XLOOKUP(Term4_Early_Dismissal_6[[#This Row],[Activity]],Types_of_Activity[Type of Activity],Types_of_Activity[Classification])=1,Term4_Early_Dismissal_6[[#This Row],[Elapsed]],0))</f>
        <v/>
      </c>
      <c r="AP67" s="105" t="str">
        <f>IF(ISBLANK(Term4_Early_Dismissal_6[[#This Row],[Activity]]),"",IF(_xlfn.XLOOKUP(Term4_Early_Dismissal_6[[#This Row],[Activity]],Types_of_Activity[Type of Activity],Types_of_Activity[Classification])=2,Term4_Early_Dismissal_6[[#This Row],[Elapsed]],0))</f>
        <v/>
      </c>
    </row>
    <row r="68" spans="2:42" x14ac:dyDescent="0.3">
      <c r="B68" s="135"/>
      <c r="C68" s="135"/>
      <c r="D68" s="102"/>
      <c r="E68" s="105" t="str">
        <f>IF(OR(ISBLANK(Term4_Early_Dismissal_1[[#This Row],[Start]]),ISBLANK(Term4_Early_Dismissal_1[[#This Row],[End]])),"",(Term4_Early_Dismissal_1[[#This Row],[End]]-Term4_Early_Dismissal_1[[#This Row],[Start]])*1440)</f>
        <v/>
      </c>
      <c r="F68" s="105" t="str">
        <f>IF(ISBLANK(Term4_Early_Dismissal_1[[#This Row],[Activity]]),"",IF(_xlfn.XLOOKUP(Term4_Early_Dismissal_1[[#This Row],[Activity]],Types_of_Activity[Type of Activity],Types_of_Activity[Classification])=1,Term4_Early_Dismissal_1[[#This Row],[Elapsed]],0))</f>
        <v/>
      </c>
      <c r="G68" s="105" t="str">
        <f>IF(ISBLANK(Term4_Early_Dismissal_1[[#This Row],[Activity]]),"",IF(_xlfn.XLOOKUP(Term4_Early_Dismissal_1[[#This Row],[Activity]],Types_of_Activity[Type of Activity],Types_of_Activity[Classification])=2,Term4_Early_Dismissal_1[[#This Row],[Elapsed]],0))</f>
        <v/>
      </c>
      <c r="H68"/>
      <c r="I68" s="135"/>
      <c r="J68" s="135"/>
      <c r="K68" s="102"/>
      <c r="L68" s="105" t="str">
        <f>IF(OR(ISBLANK(Term4_Early_Dismissal_2[[#This Row],[Start]]),ISBLANK(Term4_Early_Dismissal_2[[#This Row],[End]])),"",(Term4_Early_Dismissal_2[[#This Row],[End]]-Term4_Early_Dismissal_2[[#This Row],[Start]])*1440)</f>
        <v/>
      </c>
      <c r="M68" s="105" t="str">
        <f>IF(ISBLANK(Term4_Early_Dismissal_2[[#This Row],[Activity]]),"",IF(_xlfn.XLOOKUP(Term4_Early_Dismissal_2[[#This Row],[Activity]],Types_of_Activity[Type of Activity],Types_of_Activity[Classification])=1,Term4_Early_Dismissal_2[[#This Row],[Elapsed]],0))</f>
        <v/>
      </c>
      <c r="N68" s="105" t="str">
        <f>IF(ISBLANK(Term4_Early_Dismissal_2[[#This Row],[Activity]]),"",IF(_xlfn.XLOOKUP(Term4_Early_Dismissal_2[[#This Row],[Activity]],Types_of_Activity[Type of Activity],Types_of_Activity[Classification])=2,Term4_Early_Dismissal_2[[#This Row],[Elapsed]],0))</f>
        <v/>
      </c>
      <c r="O68"/>
      <c r="P68" s="135"/>
      <c r="Q68" s="135"/>
      <c r="R68" s="102"/>
      <c r="S68" s="105" t="str">
        <f>IF(OR(ISBLANK(Term4_Early_Dismissal_3[[#This Row],[Start]]),ISBLANK(Term4_Early_Dismissal_3[[#This Row],[End]])),"",(Term4_Early_Dismissal_3[[#This Row],[End]]-Term4_Early_Dismissal_3[[#This Row],[Start]])*1440)</f>
        <v/>
      </c>
      <c r="T68" s="105" t="str">
        <f>IF(ISBLANK(Term4_Early_Dismissal_3[[#This Row],[Activity]]),"",IF(_xlfn.XLOOKUP(Term4_Early_Dismissal_3[[#This Row],[Activity]],Types_of_Activity[Type of Activity],Types_of_Activity[Classification])=1,Term4_Early_Dismissal_3[[#This Row],[Elapsed]],0))</f>
        <v/>
      </c>
      <c r="U68" s="105" t="str">
        <f>IF(ISBLANK(Term4_Early_Dismissal_3[[#This Row],[Activity]]),"",IF(_xlfn.XLOOKUP(Term4_Early_Dismissal_3[[#This Row],[Activity]],Types_of_Activity[Type of Activity],Types_of_Activity[Classification])=2,Term4_Early_Dismissal_3[[#This Row],[Elapsed]],0))</f>
        <v/>
      </c>
      <c r="W68" s="135"/>
      <c r="X68" s="135"/>
      <c r="Y68" s="102"/>
      <c r="Z68" s="105" t="str">
        <f>IF(OR(ISBLANK(Term4_Early_Dismissal_4[[#This Row],[Start]]),ISBLANK(Term4_Early_Dismissal_4[[#This Row],[End]])),"",(Term4_Early_Dismissal_4[[#This Row],[End]]-Term4_Early_Dismissal_4[[#This Row],[Start]])*1440)</f>
        <v/>
      </c>
      <c r="AA68" s="105" t="str">
        <f>IF(ISBLANK(Term4_Early_Dismissal_4[[#This Row],[Activity]]),"",IF(_xlfn.XLOOKUP(Term4_Early_Dismissal_4[[#This Row],[Activity]],Types_of_Activity[Type of Activity],Types_of_Activity[Classification])=1,Term4_Early_Dismissal_4[[#This Row],[Elapsed]],0))</f>
        <v/>
      </c>
      <c r="AB68" s="105" t="str">
        <f>IF(ISBLANK(Term4_Early_Dismissal_4[[#This Row],[Activity]]),"",IF(_xlfn.XLOOKUP(Term4_Early_Dismissal_4[[#This Row],[Activity]],Types_of_Activity[Type of Activity],Types_of_Activity[Classification])=2,Term4_Early_Dismissal_4[[#This Row],[Elapsed]],0))</f>
        <v/>
      </c>
      <c r="AD68" s="135"/>
      <c r="AE68" s="135"/>
      <c r="AF68" s="102"/>
      <c r="AG68" s="105" t="str">
        <f>IF(OR(ISBLANK(Term4_Early_Dismissal_5[[#This Row],[Start]]),ISBLANK(Term4_Early_Dismissal_5[[#This Row],[End]])),"",(Term4_Early_Dismissal_5[[#This Row],[End]]-Term4_Early_Dismissal_5[[#This Row],[Start]])*1440)</f>
        <v/>
      </c>
      <c r="AH68" s="105" t="str">
        <f>IF(ISBLANK(Term4_Early_Dismissal_5[[#This Row],[Activity]]),"",IF(_xlfn.XLOOKUP(Term4_Early_Dismissal_5[[#This Row],[Activity]],Types_of_Activity[Type of Activity],Types_of_Activity[Classification])=1,Term4_Early_Dismissal_5[[#This Row],[Elapsed]],0))</f>
        <v/>
      </c>
      <c r="AI68" s="105" t="str">
        <f>IF(ISBLANK(Term4_Early_Dismissal_5[[#This Row],[Activity]]),"",IF(_xlfn.XLOOKUP(Term4_Early_Dismissal_5[[#This Row],[Activity]],Types_of_Activity[Type of Activity],Types_of_Activity[Classification])=2,Term4_Early_Dismissal_5[[#This Row],[Elapsed]],0))</f>
        <v/>
      </c>
      <c r="AK68" s="135"/>
      <c r="AL68" s="135"/>
      <c r="AM68" s="102"/>
      <c r="AN68" s="105" t="str">
        <f>IF(OR(ISBLANK(Term4_Early_Dismissal_6[[#This Row],[Start]]),ISBLANK(Term4_Early_Dismissal_6[[#This Row],[End]])),"",(Term4_Early_Dismissal_6[[#This Row],[End]]-Term4_Early_Dismissal_6[[#This Row],[Start]])*1440)</f>
        <v/>
      </c>
      <c r="AO68" s="105" t="str">
        <f>IF(ISBLANK(Term4_Early_Dismissal_6[[#This Row],[Activity]]),"",IF(_xlfn.XLOOKUP(Term4_Early_Dismissal_6[[#This Row],[Activity]],Types_of_Activity[Type of Activity],Types_of_Activity[Classification])=1,Term4_Early_Dismissal_6[[#This Row],[Elapsed]],0))</f>
        <v/>
      </c>
      <c r="AP68" s="105" t="str">
        <f>IF(ISBLANK(Term4_Early_Dismissal_6[[#This Row],[Activity]]),"",IF(_xlfn.XLOOKUP(Term4_Early_Dismissal_6[[#This Row],[Activity]],Types_of_Activity[Type of Activity],Types_of_Activity[Classification])=2,Term4_Early_Dismissal_6[[#This Row],[Elapsed]],0))</f>
        <v/>
      </c>
    </row>
    <row r="69" spans="2:42" x14ac:dyDescent="0.3">
      <c r="B69" s="135"/>
      <c r="C69" s="135"/>
      <c r="D69" s="102"/>
      <c r="E69" s="105" t="str">
        <f>IF(OR(ISBLANK(Term4_Early_Dismissal_1[[#This Row],[Start]]),ISBLANK(Term4_Early_Dismissal_1[[#This Row],[End]])),"",(Term4_Early_Dismissal_1[[#This Row],[End]]-Term4_Early_Dismissal_1[[#This Row],[Start]])*1440)</f>
        <v/>
      </c>
      <c r="F69" s="105" t="str">
        <f>IF(ISBLANK(Term4_Early_Dismissal_1[[#This Row],[Activity]]),"",IF(_xlfn.XLOOKUP(Term4_Early_Dismissal_1[[#This Row],[Activity]],Types_of_Activity[Type of Activity],Types_of_Activity[Classification])=1,Term4_Early_Dismissal_1[[#This Row],[Elapsed]],0))</f>
        <v/>
      </c>
      <c r="G69" s="105" t="str">
        <f>IF(ISBLANK(Term4_Early_Dismissal_1[[#This Row],[Activity]]),"",IF(_xlfn.XLOOKUP(Term4_Early_Dismissal_1[[#This Row],[Activity]],Types_of_Activity[Type of Activity],Types_of_Activity[Classification])=2,Term4_Early_Dismissal_1[[#This Row],[Elapsed]],0))</f>
        <v/>
      </c>
      <c r="H69"/>
      <c r="I69" s="135"/>
      <c r="J69" s="135"/>
      <c r="K69" s="102"/>
      <c r="L69" s="105" t="str">
        <f>IF(OR(ISBLANK(Term4_Early_Dismissal_2[[#This Row],[Start]]),ISBLANK(Term4_Early_Dismissal_2[[#This Row],[End]])),"",(Term4_Early_Dismissal_2[[#This Row],[End]]-Term4_Early_Dismissal_2[[#This Row],[Start]])*1440)</f>
        <v/>
      </c>
      <c r="M69" s="105" t="str">
        <f>IF(ISBLANK(Term4_Early_Dismissal_2[[#This Row],[Activity]]),"",IF(_xlfn.XLOOKUP(Term4_Early_Dismissal_2[[#This Row],[Activity]],Types_of_Activity[Type of Activity],Types_of_Activity[Classification])=1,Term4_Early_Dismissal_2[[#This Row],[Elapsed]],0))</f>
        <v/>
      </c>
      <c r="N69" s="105" t="str">
        <f>IF(ISBLANK(Term4_Early_Dismissal_2[[#This Row],[Activity]]),"",IF(_xlfn.XLOOKUP(Term4_Early_Dismissal_2[[#This Row],[Activity]],Types_of_Activity[Type of Activity],Types_of_Activity[Classification])=2,Term4_Early_Dismissal_2[[#This Row],[Elapsed]],0))</f>
        <v/>
      </c>
      <c r="O69"/>
      <c r="P69" s="135"/>
      <c r="Q69" s="135"/>
      <c r="R69" s="102"/>
      <c r="S69" s="105" t="str">
        <f>IF(OR(ISBLANK(Term4_Early_Dismissal_3[[#This Row],[Start]]),ISBLANK(Term4_Early_Dismissal_3[[#This Row],[End]])),"",(Term4_Early_Dismissal_3[[#This Row],[End]]-Term4_Early_Dismissal_3[[#This Row],[Start]])*1440)</f>
        <v/>
      </c>
      <c r="T69" s="105" t="str">
        <f>IF(ISBLANK(Term4_Early_Dismissal_3[[#This Row],[Activity]]),"",IF(_xlfn.XLOOKUP(Term4_Early_Dismissal_3[[#This Row],[Activity]],Types_of_Activity[Type of Activity],Types_of_Activity[Classification])=1,Term4_Early_Dismissal_3[[#This Row],[Elapsed]],0))</f>
        <v/>
      </c>
      <c r="U69" s="105" t="str">
        <f>IF(ISBLANK(Term4_Early_Dismissal_3[[#This Row],[Activity]]),"",IF(_xlfn.XLOOKUP(Term4_Early_Dismissal_3[[#This Row],[Activity]],Types_of_Activity[Type of Activity],Types_of_Activity[Classification])=2,Term4_Early_Dismissal_3[[#This Row],[Elapsed]],0))</f>
        <v/>
      </c>
      <c r="W69" s="135"/>
      <c r="X69" s="135"/>
      <c r="Y69" s="102"/>
      <c r="Z69" s="105" t="str">
        <f>IF(OR(ISBLANK(Term4_Early_Dismissal_4[[#This Row],[Start]]),ISBLANK(Term4_Early_Dismissal_4[[#This Row],[End]])),"",(Term4_Early_Dismissal_4[[#This Row],[End]]-Term4_Early_Dismissal_4[[#This Row],[Start]])*1440)</f>
        <v/>
      </c>
      <c r="AA69" s="105" t="str">
        <f>IF(ISBLANK(Term4_Early_Dismissal_4[[#This Row],[Activity]]),"",IF(_xlfn.XLOOKUP(Term4_Early_Dismissal_4[[#This Row],[Activity]],Types_of_Activity[Type of Activity],Types_of_Activity[Classification])=1,Term4_Early_Dismissal_4[[#This Row],[Elapsed]],0))</f>
        <v/>
      </c>
      <c r="AB69" s="105" t="str">
        <f>IF(ISBLANK(Term4_Early_Dismissal_4[[#This Row],[Activity]]),"",IF(_xlfn.XLOOKUP(Term4_Early_Dismissal_4[[#This Row],[Activity]],Types_of_Activity[Type of Activity],Types_of_Activity[Classification])=2,Term4_Early_Dismissal_4[[#This Row],[Elapsed]],0))</f>
        <v/>
      </c>
      <c r="AD69" s="135"/>
      <c r="AE69" s="135"/>
      <c r="AF69" s="102"/>
      <c r="AG69" s="105" t="str">
        <f>IF(OR(ISBLANK(Term4_Early_Dismissal_5[[#This Row],[Start]]),ISBLANK(Term4_Early_Dismissal_5[[#This Row],[End]])),"",(Term4_Early_Dismissal_5[[#This Row],[End]]-Term4_Early_Dismissal_5[[#This Row],[Start]])*1440)</f>
        <v/>
      </c>
      <c r="AH69" s="105" t="str">
        <f>IF(ISBLANK(Term4_Early_Dismissal_5[[#This Row],[Activity]]),"",IF(_xlfn.XLOOKUP(Term4_Early_Dismissal_5[[#This Row],[Activity]],Types_of_Activity[Type of Activity],Types_of_Activity[Classification])=1,Term4_Early_Dismissal_5[[#This Row],[Elapsed]],0))</f>
        <v/>
      </c>
      <c r="AI69" s="105" t="str">
        <f>IF(ISBLANK(Term4_Early_Dismissal_5[[#This Row],[Activity]]),"",IF(_xlfn.XLOOKUP(Term4_Early_Dismissal_5[[#This Row],[Activity]],Types_of_Activity[Type of Activity],Types_of_Activity[Classification])=2,Term4_Early_Dismissal_5[[#This Row],[Elapsed]],0))</f>
        <v/>
      </c>
      <c r="AK69" s="135"/>
      <c r="AL69" s="135"/>
      <c r="AM69" s="102"/>
      <c r="AN69" s="105" t="str">
        <f>IF(OR(ISBLANK(Term4_Early_Dismissal_6[[#This Row],[Start]]),ISBLANK(Term4_Early_Dismissal_6[[#This Row],[End]])),"",(Term4_Early_Dismissal_6[[#This Row],[End]]-Term4_Early_Dismissal_6[[#This Row],[Start]])*1440)</f>
        <v/>
      </c>
      <c r="AO69" s="105" t="str">
        <f>IF(ISBLANK(Term4_Early_Dismissal_6[[#This Row],[Activity]]),"",IF(_xlfn.XLOOKUP(Term4_Early_Dismissal_6[[#This Row],[Activity]],Types_of_Activity[Type of Activity],Types_of_Activity[Classification])=1,Term4_Early_Dismissal_6[[#This Row],[Elapsed]],0))</f>
        <v/>
      </c>
      <c r="AP69" s="105" t="str">
        <f>IF(ISBLANK(Term4_Early_Dismissal_6[[#This Row],[Activity]]),"",IF(_xlfn.XLOOKUP(Term4_Early_Dismissal_6[[#This Row],[Activity]],Types_of_Activity[Type of Activity],Types_of_Activity[Classification])=2,Term4_Early_Dismissal_6[[#This Row],[Elapsed]],0))</f>
        <v/>
      </c>
    </row>
    <row r="70" spans="2:42" x14ac:dyDescent="0.3">
      <c r="B70" s="135"/>
      <c r="C70" s="135"/>
      <c r="D70" s="102"/>
      <c r="E70" s="105" t="str">
        <f>IF(OR(ISBLANK(Term4_Early_Dismissal_1[[#This Row],[Start]]),ISBLANK(Term4_Early_Dismissal_1[[#This Row],[End]])),"",(Term4_Early_Dismissal_1[[#This Row],[End]]-Term4_Early_Dismissal_1[[#This Row],[Start]])*1440)</f>
        <v/>
      </c>
      <c r="F70" s="105" t="str">
        <f>IF(ISBLANK(Term4_Early_Dismissal_1[[#This Row],[Activity]]),"",IF(_xlfn.XLOOKUP(Term4_Early_Dismissal_1[[#This Row],[Activity]],Types_of_Activity[Type of Activity],Types_of_Activity[Classification])=1,Term4_Early_Dismissal_1[[#This Row],[Elapsed]],0))</f>
        <v/>
      </c>
      <c r="G70" s="105" t="str">
        <f>IF(ISBLANK(Term4_Early_Dismissal_1[[#This Row],[Activity]]),"",IF(_xlfn.XLOOKUP(Term4_Early_Dismissal_1[[#This Row],[Activity]],Types_of_Activity[Type of Activity],Types_of_Activity[Classification])=2,Term4_Early_Dismissal_1[[#This Row],[Elapsed]],0))</f>
        <v/>
      </c>
      <c r="H70"/>
      <c r="I70" s="135"/>
      <c r="J70" s="135"/>
      <c r="K70" s="102"/>
      <c r="L70" s="105" t="str">
        <f>IF(OR(ISBLANK(Term4_Early_Dismissal_2[[#This Row],[Start]]),ISBLANK(Term4_Early_Dismissal_2[[#This Row],[End]])),"",(Term4_Early_Dismissal_2[[#This Row],[End]]-Term4_Early_Dismissal_2[[#This Row],[Start]])*1440)</f>
        <v/>
      </c>
      <c r="M70" s="105" t="str">
        <f>IF(ISBLANK(Term4_Early_Dismissal_2[[#This Row],[Activity]]),"",IF(_xlfn.XLOOKUP(Term4_Early_Dismissal_2[[#This Row],[Activity]],Types_of_Activity[Type of Activity],Types_of_Activity[Classification])=1,Term4_Early_Dismissal_2[[#This Row],[Elapsed]],0))</f>
        <v/>
      </c>
      <c r="N70" s="105" t="str">
        <f>IF(ISBLANK(Term4_Early_Dismissal_2[[#This Row],[Activity]]),"",IF(_xlfn.XLOOKUP(Term4_Early_Dismissal_2[[#This Row],[Activity]],Types_of_Activity[Type of Activity],Types_of_Activity[Classification])=2,Term4_Early_Dismissal_2[[#This Row],[Elapsed]],0))</f>
        <v/>
      </c>
      <c r="O70"/>
      <c r="P70" s="135"/>
      <c r="Q70" s="135"/>
      <c r="R70" s="102"/>
      <c r="S70" s="105" t="str">
        <f>IF(OR(ISBLANK(Term4_Early_Dismissal_3[[#This Row],[Start]]),ISBLANK(Term4_Early_Dismissal_3[[#This Row],[End]])),"",(Term4_Early_Dismissal_3[[#This Row],[End]]-Term4_Early_Dismissal_3[[#This Row],[Start]])*1440)</f>
        <v/>
      </c>
      <c r="T70" s="105" t="str">
        <f>IF(ISBLANK(Term4_Early_Dismissal_3[[#This Row],[Activity]]),"",IF(_xlfn.XLOOKUP(Term4_Early_Dismissal_3[[#This Row],[Activity]],Types_of_Activity[Type of Activity],Types_of_Activity[Classification])=1,Term4_Early_Dismissal_3[[#This Row],[Elapsed]],0))</f>
        <v/>
      </c>
      <c r="U70" s="105" t="str">
        <f>IF(ISBLANK(Term4_Early_Dismissal_3[[#This Row],[Activity]]),"",IF(_xlfn.XLOOKUP(Term4_Early_Dismissal_3[[#This Row],[Activity]],Types_of_Activity[Type of Activity],Types_of_Activity[Classification])=2,Term4_Early_Dismissal_3[[#This Row],[Elapsed]],0))</f>
        <v/>
      </c>
      <c r="W70" s="135"/>
      <c r="X70" s="135"/>
      <c r="Y70" s="102"/>
      <c r="Z70" s="105" t="str">
        <f>IF(OR(ISBLANK(Term4_Early_Dismissal_4[[#This Row],[Start]]),ISBLANK(Term4_Early_Dismissal_4[[#This Row],[End]])),"",(Term4_Early_Dismissal_4[[#This Row],[End]]-Term4_Early_Dismissal_4[[#This Row],[Start]])*1440)</f>
        <v/>
      </c>
      <c r="AA70" s="105" t="str">
        <f>IF(ISBLANK(Term4_Early_Dismissal_4[[#This Row],[Activity]]),"",IF(_xlfn.XLOOKUP(Term4_Early_Dismissal_4[[#This Row],[Activity]],Types_of_Activity[Type of Activity],Types_of_Activity[Classification])=1,Term4_Early_Dismissal_4[[#This Row],[Elapsed]],0))</f>
        <v/>
      </c>
      <c r="AB70" s="105" t="str">
        <f>IF(ISBLANK(Term4_Early_Dismissal_4[[#This Row],[Activity]]),"",IF(_xlfn.XLOOKUP(Term4_Early_Dismissal_4[[#This Row],[Activity]],Types_of_Activity[Type of Activity],Types_of_Activity[Classification])=2,Term4_Early_Dismissal_4[[#This Row],[Elapsed]],0))</f>
        <v/>
      </c>
      <c r="AD70" s="135"/>
      <c r="AE70" s="135"/>
      <c r="AF70" s="102"/>
      <c r="AG70" s="105" t="str">
        <f>IF(OR(ISBLANK(Term4_Early_Dismissal_5[[#This Row],[Start]]),ISBLANK(Term4_Early_Dismissal_5[[#This Row],[End]])),"",(Term4_Early_Dismissal_5[[#This Row],[End]]-Term4_Early_Dismissal_5[[#This Row],[Start]])*1440)</f>
        <v/>
      </c>
      <c r="AH70" s="105" t="str">
        <f>IF(ISBLANK(Term4_Early_Dismissal_5[[#This Row],[Activity]]),"",IF(_xlfn.XLOOKUP(Term4_Early_Dismissal_5[[#This Row],[Activity]],Types_of_Activity[Type of Activity],Types_of_Activity[Classification])=1,Term4_Early_Dismissal_5[[#This Row],[Elapsed]],0))</f>
        <v/>
      </c>
      <c r="AI70" s="105" t="str">
        <f>IF(ISBLANK(Term4_Early_Dismissal_5[[#This Row],[Activity]]),"",IF(_xlfn.XLOOKUP(Term4_Early_Dismissal_5[[#This Row],[Activity]],Types_of_Activity[Type of Activity],Types_of_Activity[Classification])=2,Term4_Early_Dismissal_5[[#This Row],[Elapsed]],0))</f>
        <v/>
      </c>
      <c r="AK70" s="135"/>
      <c r="AL70" s="135"/>
      <c r="AM70" s="102"/>
      <c r="AN70" s="105" t="str">
        <f>IF(OR(ISBLANK(Term4_Early_Dismissal_6[[#This Row],[Start]]),ISBLANK(Term4_Early_Dismissal_6[[#This Row],[End]])),"",(Term4_Early_Dismissal_6[[#This Row],[End]]-Term4_Early_Dismissal_6[[#This Row],[Start]])*1440)</f>
        <v/>
      </c>
      <c r="AO70" s="105" t="str">
        <f>IF(ISBLANK(Term4_Early_Dismissal_6[[#This Row],[Activity]]),"",IF(_xlfn.XLOOKUP(Term4_Early_Dismissal_6[[#This Row],[Activity]],Types_of_Activity[Type of Activity],Types_of_Activity[Classification])=1,Term4_Early_Dismissal_6[[#This Row],[Elapsed]],0))</f>
        <v/>
      </c>
      <c r="AP70" s="105" t="str">
        <f>IF(ISBLANK(Term4_Early_Dismissal_6[[#This Row],[Activity]]),"",IF(_xlfn.XLOOKUP(Term4_Early_Dismissal_6[[#This Row],[Activity]],Types_of_Activity[Type of Activity],Types_of_Activity[Classification])=2,Term4_Early_Dismissal_6[[#This Row],[Elapsed]],0))</f>
        <v/>
      </c>
    </row>
    <row r="71" spans="2:42" x14ac:dyDescent="0.3">
      <c r="B71" s="135"/>
      <c r="C71" s="135"/>
      <c r="D71" s="102"/>
      <c r="E71" s="105" t="str">
        <f>IF(OR(ISBLANK(Term4_Early_Dismissal_1[[#This Row],[Start]]),ISBLANK(Term4_Early_Dismissal_1[[#This Row],[End]])),"",(Term4_Early_Dismissal_1[[#This Row],[End]]-Term4_Early_Dismissal_1[[#This Row],[Start]])*1440)</f>
        <v/>
      </c>
      <c r="F71" s="105" t="str">
        <f>IF(ISBLANK(Term4_Early_Dismissal_1[[#This Row],[Activity]]),"",IF(_xlfn.XLOOKUP(Term4_Early_Dismissal_1[[#This Row],[Activity]],Types_of_Activity[Type of Activity],Types_of_Activity[Classification])=1,Term4_Early_Dismissal_1[[#This Row],[Elapsed]],0))</f>
        <v/>
      </c>
      <c r="G71" s="105" t="str">
        <f>IF(ISBLANK(Term4_Early_Dismissal_1[[#This Row],[Activity]]),"",IF(_xlfn.XLOOKUP(Term4_Early_Dismissal_1[[#This Row],[Activity]],Types_of_Activity[Type of Activity],Types_of_Activity[Classification])=2,Term4_Early_Dismissal_1[[#This Row],[Elapsed]],0))</f>
        <v/>
      </c>
      <c r="H71"/>
      <c r="I71" s="135"/>
      <c r="J71" s="135"/>
      <c r="K71" s="102"/>
      <c r="L71" s="105" t="str">
        <f>IF(OR(ISBLANK(Term4_Early_Dismissal_2[[#This Row],[Start]]),ISBLANK(Term4_Early_Dismissal_2[[#This Row],[End]])),"",(Term4_Early_Dismissal_2[[#This Row],[End]]-Term4_Early_Dismissal_2[[#This Row],[Start]])*1440)</f>
        <v/>
      </c>
      <c r="M71" s="105" t="str">
        <f>IF(ISBLANK(Term4_Early_Dismissal_2[[#This Row],[Activity]]),"",IF(_xlfn.XLOOKUP(Term4_Early_Dismissal_2[[#This Row],[Activity]],Types_of_Activity[Type of Activity],Types_of_Activity[Classification])=1,Term4_Early_Dismissal_2[[#This Row],[Elapsed]],0))</f>
        <v/>
      </c>
      <c r="N71" s="105" t="str">
        <f>IF(ISBLANK(Term4_Early_Dismissal_2[[#This Row],[Activity]]),"",IF(_xlfn.XLOOKUP(Term4_Early_Dismissal_2[[#This Row],[Activity]],Types_of_Activity[Type of Activity],Types_of_Activity[Classification])=2,Term4_Early_Dismissal_2[[#This Row],[Elapsed]],0))</f>
        <v/>
      </c>
      <c r="O71"/>
      <c r="P71" s="135"/>
      <c r="Q71" s="135"/>
      <c r="R71" s="102"/>
      <c r="S71" s="105" t="str">
        <f>IF(OR(ISBLANK(Term4_Early_Dismissal_3[[#This Row],[Start]]),ISBLANK(Term4_Early_Dismissal_3[[#This Row],[End]])),"",(Term4_Early_Dismissal_3[[#This Row],[End]]-Term4_Early_Dismissal_3[[#This Row],[Start]])*1440)</f>
        <v/>
      </c>
      <c r="T71" s="105" t="str">
        <f>IF(ISBLANK(Term4_Early_Dismissal_3[[#This Row],[Activity]]),"",IF(_xlfn.XLOOKUP(Term4_Early_Dismissal_3[[#This Row],[Activity]],Types_of_Activity[Type of Activity],Types_of_Activity[Classification])=1,Term4_Early_Dismissal_3[[#This Row],[Elapsed]],0))</f>
        <v/>
      </c>
      <c r="U71" s="105" t="str">
        <f>IF(ISBLANK(Term4_Early_Dismissal_3[[#This Row],[Activity]]),"",IF(_xlfn.XLOOKUP(Term4_Early_Dismissal_3[[#This Row],[Activity]],Types_of_Activity[Type of Activity],Types_of_Activity[Classification])=2,Term4_Early_Dismissal_3[[#This Row],[Elapsed]],0))</f>
        <v/>
      </c>
      <c r="W71" s="135"/>
      <c r="X71" s="135"/>
      <c r="Y71" s="102"/>
      <c r="Z71" s="105" t="str">
        <f>IF(OR(ISBLANK(Term4_Early_Dismissal_4[[#This Row],[Start]]),ISBLANK(Term4_Early_Dismissal_4[[#This Row],[End]])),"",(Term4_Early_Dismissal_4[[#This Row],[End]]-Term4_Early_Dismissal_4[[#This Row],[Start]])*1440)</f>
        <v/>
      </c>
      <c r="AA71" s="105" t="str">
        <f>IF(ISBLANK(Term4_Early_Dismissal_4[[#This Row],[Activity]]),"",IF(_xlfn.XLOOKUP(Term4_Early_Dismissal_4[[#This Row],[Activity]],Types_of_Activity[Type of Activity],Types_of_Activity[Classification])=1,Term4_Early_Dismissal_4[[#This Row],[Elapsed]],0))</f>
        <v/>
      </c>
      <c r="AB71" s="105" t="str">
        <f>IF(ISBLANK(Term4_Early_Dismissal_4[[#This Row],[Activity]]),"",IF(_xlfn.XLOOKUP(Term4_Early_Dismissal_4[[#This Row],[Activity]],Types_of_Activity[Type of Activity],Types_of_Activity[Classification])=2,Term4_Early_Dismissal_4[[#This Row],[Elapsed]],0))</f>
        <v/>
      </c>
      <c r="AD71" s="135"/>
      <c r="AE71" s="135"/>
      <c r="AF71" s="102"/>
      <c r="AG71" s="105" t="str">
        <f>IF(OR(ISBLANK(Term4_Early_Dismissal_5[[#This Row],[Start]]),ISBLANK(Term4_Early_Dismissal_5[[#This Row],[End]])),"",(Term4_Early_Dismissal_5[[#This Row],[End]]-Term4_Early_Dismissal_5[[#This Row],[Start]])*1440)</f>
        <v/>
      </c>
      <c r="AH71" s="105" t="str">
        <f>IF(ISBLANK(Term4_Early_Dismissal_5[[#This Row],[Activity]]),"",IF(_xlfn.XLOOKUP(Term4_Early_Dismissal_5[[#This Row],[Activity]],Types_of_Activity[Type of Activity],Types_of_Activity[Classification])=1,Term4_Early_Dismissal_5[[#This Row],[Elapsed]],0))</f>
        <v/>
      </c>
      <c r="AI71" s="105" t="str">
        <f>IF(ISBLANK(Term4_Early_Dismissal_5[[#This Row],[Activity]]),"",IF(_xlfn.XLOOKUP(Term4_Early_Dismissal_5[[#This Row],[Activity]],Types_of_Activity[Type of Activity],Types_of_Activity[Classification])=2,Term4_Early_Dismissal_5[[#This Row],[Elapsed]],0))</f>
        <v/>
      </c>
      <c r="AK71" s="135"/>
      <c r="AL71" s="135"/>
      <c r="AM71" s="102"/>
      <c r="AN71" s="105" t="str">
        <f>IF(OR(ISBLANK(Term4_Early_Dismissal_6[[#This Row],[Start]]),ISBLANK(Term4_Early_Dismissal_6[[#This Row],[End]])),"",(Term4_Early_Dismissal_6[[#This Row],[End]]-Term4_Early_Dismissal_6[[#This Row],[Start]])*1440)</f>
        <v/>
      </c>
      <c r="AO71" s="105" t="str">
        <f>IF(ISBLANK(Term4_Early_Dismissal_6[[#This Row],[Activity]]),"",IF(_xlfn.XLOOKUP(Term4_Early_Dismissal_6[[#This Row],[Activity]],Types_of_Activity[Type of Activity],Types_of_Activity[Classification])=1,Term4_Early_Dismissal_6[[#This Row],[Elapsed]],0))</f>
        <v/>
      </c>
      <c r="AP71" s="105" t="str">
        <f>IF(ISBLANK(Term4_Early_Dismissal_6[[#This Row],[Activity]]),"",IF(_xlfn.XLOOKUP(Term4_Early_Dismissal_6[[#This Row],[Activity]],Types_of_Activity[Type of Activity],Types_of_Activity[Classification])=2,Term4_Early_Dismissal_6[[#This Row],[Elapsed]],0))</f>
        <v/>
      </c>
    </row>
    <row r="72" spans="2:42" x14ac:dyDescent="0.3">
      <c r="B72" s="135"/>
      <c r="C72" s="135"/>
      <c r="D72" s="102"/>
      <c r="E72" s="105" t="str">
        <f>IF(OR(ISBLANK(Term4_Early_Dismissal_1[[#This Row],[Start]]),ISBLANK(Term4_Early_Dismissal_1[[#This Row],[End]])),"",(Term4_Early_Dismissal_1[[#This Row],[End]]-Term4_Early_Dismissal_1[[#This Row],[Start]])*1440)</f>
        <v/>
      </c>
      <c r="F72" s="105" t="str">
        <f>IF(ISBLANK(Term4_Early_Dismissal_1[[#This Row],[Activity]]),"",IF(_xlfn.XLOOKUP(Term4_Early_Dismissal_1[[#This Row],[Activity]],Types_of_Activity[Type of Activity],Types_of_Activity[Classification])=1,Term4_Early_Dismissal_1[[#This Row],[Elapsed]],0))</f>
        <v/>
      </c>
      <c r="G72" s="105" t="str">
        <f>IF(ISBLANK(Term4_Early_Dismissal_1[[#This Row],[Activity]]),"",IF(_xlfn.XLOOKUP(Term4_Early_Dismissal_1[[#This Row],[Activity]],Types_of_Activity[Type of Activity],Types_of_Activity[Classification])=2,Term4_Early_Dismissal_1[[#This Row],[Elapsed]],0))</f>
        <v/>
      </c>
      <c r="H72"/>
      <c r="I72" s="135"/>
      <c r="J72" s="135"/>
      <c r="K72" s="102"/>
      <c r="L72" s="105" t="str">
        <f>IF(OR(ISBLANK(Term4_Early_Dismissal_2[[#This Row],[Start]]),ISBLANK(Term4_Early_Dismissal_2[[#This Row],[End]])),"",(Term4_Early_Dismissal_2[[#This Row],[End]]-Term4_Early_Dismissal_2[[#This Row],[Start]])*1440)</f>
        <v/>
      </c>
      <c r="M72" s="105" t="str">
        <f>IF(ISBLANK(Term4_Early_Dismissal_2[[#This Row],[Activity]]),"",IF(_xlfn.XLOOKUP(Term4_Early_Dismissal_2[[#This Row],[Activity]],Types_of_Activity[Type of Activity],Types_of_Activity[Classification])=1,Term4_Early_Dismissal_2[[#This Row],[Elapsed]],0))</f>
        <v/>
      </c>
      <c r="N72" s="105" t="str">
        <f>IF(ISBLANK(Term4_Early_Dismissal_2[[#This Row],[Activity]]),"",IF(_xlfn.XLOOKUP(Term4_Early_Dismissal_2[[#This Row],[Activity]],Types_of_Activity[Type of Activity],Types_of_Activity[Classification])=2,Term4_Early_Dismissal_2[[#This Row],[Elapsed]],0))</f>
        <v/>
      </c>
      <c r="O72"/>
      <c r="P72" s="135"/>
      <c r="Q72" s="135"/>
      <c r="R72" s="102"/>
      <c r="S72" s="105" t="str">
        <f>IF(OR(ISBLANK(Term4_Early_Dismissal_3[[#This Row],[Start]]),ISBLANK(Term4_Early_Dismissal_3[[#This Row],[End]])),"",(Term4_Early_Dismissal_3[[#This Row],[End]]-Term4_Early_Dismissal_3[[#This Row],[Start]])*1440)</f>
        <v/>
      </c>
      <c r="T72" s="105" t="str">
        <f>IF(ISBLANK(Term4_Early_Dismissal_3[[#This Row],[Activity]]),"",IF(_xlfn.XLOOKUP(Term4_Early_Dismissal_3[[#This Row],[Activity]],Types_of_Activity[Type of Activity],Types_of_Activity[Classification])=1,Term4_Early_Dismissal_3[[#This Row],[Elapsed]],0))</f>
        <v/>
      </c>
      <c r="U72" s="105" t="str">
        <f>IF(ISBLANK(Term4_Early_Dismissal_3[[#This Row],[Activity]]),"",IF(_xlfn.XLOOKUP(Term4_Early_Dismissal_3[[#This Row],[Activity]],Types_of_Activity[Type of Activity],Types_of_Activity[Classification])=2,Term4_Early_Dismissal_3[[#This Row],[Elapsed]],0))</f>
        <v/>
      </c>
      <c r="W72" s="135"/>
      <c r="X72" s="135"/>
      <c r="Y72" s="102"/>
      <c r="Z72" s="105" t="str">
        <f>IF(OR(ISBLANK(Term4_Early_Dismissal_4[[#This Row],[Start]]),ISBLANK(Term4_Early_Dismissal_4[[#This Row],[End]])),"",(Term4_Early_Dismissal_4[[#This Row],[End]]-Term4_Early_Dismissal_4[[#This Row],[Start]])*1440)</f>
        <v/>
      </c>
      <c r="AA72" s="105" t="str">
        <f>IF(ISBLANK(Term4_Early_Dismissal_4[[#This Row],[Activity]]),"",IF(_xlfn.XLOOKUP(Term4_Early_Dismissal_4[[#This Row],[Activity]],Types_of_Activity[Type of Activity],Types_of_Activity[Classification])=1,Term4_Early_Dismissal_4[[#This Row],[Elapsed]],0))</f>
        <v/>
      </c>
      <c r="AB72" s="105" t="str">
        <f>IF(ISBLANK(Term4_Early_Dismissal_4[[#This Row],[Activity]]),"",IF(_xlfn.XLOOKUP(Term4_Early_Dismissal_4[[#This Row],[Activity]],Types_of_Activity[Type of Activity],Types_of_Activity[Classification])=2,Term4_Early_Dismissal_4[[#This Row],[Elapsed]],0))</f>
        <v/>
      </c>
      <c r="AD72" s="135"/>
      <c r="AE72" s="135"/>
      <c r="AF72" s="102"/>
      <c r="AG72" s="105" t="str">
        <f>IF(OR(ISBLANK(Term4_Early_Dismissal_5[[#This Row],[Start]]),ISBLANK(Term4_Early_Dismissal_5[[#This Row],[End]])),"",(Term4_Early_Dismissal_5[[#This Row],[End]]-Term4_Early_Dismissal_5[[#This Row],[Start]])*1440)</f>
        <v/>
      </c>
      <c r="AH72" s="105" t="str">
        <f>IF(ISBLANK(Term4_Early_Dismissal_5[[#This Row],[Activity]]),"",IF(_xlfn.XLOOKUP(Term4_Early_Dismissal_5[[#This Row],[Activity]],Types_of_Activity[Type of Activity],Types_of_Activity[Classification])=1,Term4_Early_Dismissal_5[[#This Row],[Elapsed]],0))</f>
        <v/>
      </c>
      <c r="AI72" s="105" t="str">
        <f>IF(ISBLANK(Term4_Early_Dismissal_5[[#This Row],[Activity]]),"",IF(_xlfn.XLOOKUP(Term4_Early_Dismissal_5[[#This Row],[Activity]],Types_of_Activity[Type of Activity],Types_of_Activity[Classification])=2,Term4_Early_Dismissal_5[[#This Row],[Elapsed]],0))</f>
        <v/>
      </c>
      <c r="AK72" s="135"/>
      <c r="AL72" s="135"/>
      <c r="AM72" s="102"/>
      <c r="AN72" s="105" t="str">
        <f>IF(OR(ISBLANK(Term4_Early_Dismissal_6[[#This Row],[Start]]),ISBLANK(Term4_Early_Dismissal_6[[#This Row],[End]])),"",(Term4_Early_Dismissal_6[[#This Row],[End]]-Term4_Early_Dismissal_6[[#This Row],[Start]])*1440)</f>
        <v/>
      </c>
      <c r="AO72" s="105" t="str">
        <f>IF(ISBLANK(Term4_Early_Dismissal_6[[#This Row],[Activity]]),"",IF(_xlfn.XLOOKUP(Term4_Early_Dismissal_6[[#This Row],[Activity]],Types_of_Activity[Type of Activity],Types_of_Activity[Classification])=1,Term4_Early_Dismissal_6[[#This Row],[Elapsed]],0))</f>
        <v/>
      </c>
      <c r="AP72" s="105" t="str">
        <f>IF(ISBLANK(Term4_Early_Dismissal_6[[#This Row],[Activity]]),"",IF(_xlfn.XLOOKUP(Term4_Early_Dismissal_6[[#This Row],[Activity]],Types_of_Activity[Type of Activity],Types_of_Activity[Classification])=2,Term4_Early_Dismissal_6[[#This Row],[Elapsed]],0))</f>
        <v/>
      </c>
    </row>
    <row r="73" spans="2:42" x14ac:dyDescent="0.3">
      <c r="B73" s="135"/>
      <c r="C73" s="135"/>
      <c r="D73" s="102"/>
      <c r="E73" s="105" t="str">
        <f>IF(OR(ISBLANK(Term4_Early_Dismissal_1[[#This Row],[Start]]),ISBLANK(Term4_Early_Dismissal_1[[#This Row],[End]])),"",(Term4_Early_Dismissal_1[[#This Row],[End]]-Term4_Early_Dismissal_1[[#This Row],[Start]])*1440)</f>
        <v/>
      </c>
      <c r="F73" s="105" t="str">
        <f>IF(ISBLANK(Term4_Early_Dismissal_1[[#This Row],[Activity]]),"",IF(_xlfn.XLOOKUP(Term4_Early_Dismissal_1[[#This Row],[Activity]],Types_of_Activity[Type of Activity],Types_of_Activity[Classification])=1,Term4_Early_Dismissal_1[[#This Row],[Elapsed]],0))</f>
        <v/>
      </c>
      <c r="G73" s="105" t="str">
        <f>IF(ISBLANK(Term4_Early_Dismissal_1[[#This Row],[Activity]]),"",IF(_xlfn.XLOOKUP(Term4_Early_Dismissal_1[[#This Row],[Activity]],Types_of_Activity[Type of Activity],Types_of_Activity[Classification])=2,Term4_Early_Dismissal_1[[#This Row],[Elapsed]],0))</f>
        <v/>
      </c>
      <c r="H73"/>
      <c r="I73" s="135"/>
      <c r="J73" s="135"/>
      <c r="K73" s="102"/>
      <c r="L73" s="105" t="str">
        <f>IF(OR(ISBLANK(Term4_Early_Dismissal_2[[#This Row],[Start]]),ISBLANK(Term4_Early_Dismissal_2[[#This Row],[End]])),"",(Term4_Early_Dismissal_2[[#This Row],[End]]-Term4_Early_Dismissal_2[[#This Row],[Start]])*1440)</f>
        <v/>
      </c>
      <c r="M73" s="105" t="str">
        <f>IF(ISBLANK(Term4_Early_Dismissal_2[[#This Row],[Activity]]),"",IF(_xlfn.XLOOKUP(Term4_Early_Dismissal_2[[#This Row],[Activity]],Types_of_Activity[Type of Activity],Types_of_Activity[Classification])=1,Term4_Early_Dismissal_2[[#This Row],[Elapsed]],0))</f>
        <v/>
      </c>
      <c r="N73" s="105" t="str">
        <f>IF(ISBLANK(Term4_Early_Dismissal_2[[#This Row],[Activity]]),"",IF(_xlfn.XLOOKUP(Term4_Early_Dismissal_2[[#This Row],[Activity]],Types_of_Activity[Type of Activity],Types_of_Activity[Classification])=2,Term4_Early_Dismissal_2[[#This Row],[Elapsed]],0))</f>
        <v/>
      </c>
      <c r="O73"/>
      <c r="P73" s="135"/>
      <c r="Q73" s="135"/>
      <c r="R73" s="102"/>
      <c r="S73" s="105" t="str">
        <f>IF(OR(ISBLANK(Term4_Early_Dismissal_3[[#This Row],[Start]]),ISBLANK(Term4_Early_Dismissal_3[[#This Row],[End]])),"",(Term4_Early_Dismissal_3[[#This Row],[End]]-Term4_Early_Dismissal_3[[#This Row],[Start]])*1440)</f>
        <v/>
      </c>
      <c r="T73" s="105" t="str">
        <f>IF(ISBLANK(Term4_Early_Dismissal_3[[#This Row],[Activity]]),"",IF(_xlfn.XLOOKUP(Term4_Early_Dismissal_3[[#This Row],[Activity]],Types_of_Activity[Type of Activity],Types_of_Activity[Classification])=1,Term4_Early_Dismissal_3[[#This Row],[Elapsed]],0))</f>
        <v/>
      </c>
      <c r="U73" s="105" t="str">
        <f>IF(ISBLANK(Term4_Early_Dismissal_3[[#This Row],[Activity]]),"",IF(_xlfn.XLOOKUP(Term4_Early_Dismissal_3[[#This Row],[Activity]],Types_of_Activity[Type of Activity],Types_of_Activity[Classification])=2,Term4_Early_Dismissal_3[[#This Row],[Elapsed]],0))</f>
        <v/>
      </c>
      <c r="W73" s="135"/>
      <c r="X73" s="135"/>
      <c r="Y73" s="102"/>
      <c r="Z73" s="105" t="str">
        <f>IF(OR(ISBLANK(Term4_Early_Dismissal_4[[#This Row],[Start]]),ISBLANK(Term4_Early_Dismissal_4[[#This Row],[End]])),"",(Term4_Early_Dismissal_4[[#This Row],[End]]-Term4_Early_Dismissal_4[[#This Row],[Start]])*1440)</f>
        <v/>
      </c>
      <c r="AA73" s="105" t="str">
        <f>IF(ISBLANK(Term4_Early_Dismissal_4[[#This Row],[Activity]]),"",IF(_xlfn.XLOOKUP(Term4_Early_Dismissal_4[[#This Row],[Activity]],Types_of_Activity[Type of Activity],Types_of_Activity[Classification])=1,Term4_Early_Dismissal_4[[#This Row],[Elapsed]],0))</f>
        <v/>
      </c>
      <c r="AB73" s="105" t="str">
        <f>IF(ISBLANK(Term4_Early_Dismissal_4[[#This Row],[Activity]]),"",IF(_xlfn.XLOOKUP(Term4_Early_Dismissal_4[[#This Row],[Activity]],Types_of_Activity[Type of Activity],Types_of_Activity[Classification])=2,Term4_Early_Dismissal_4[[#This Row],[Elapsed]],0))</f>
        <v/>
      </c>
      <c r="AD73" s="135"/>
      <c r="AE73" s="135"/>
      <c r="AF73" s="102"/>
      <c r="AG73" s="105" t="str">
        <f>IF(OR(ISBLANK(Term4_Early_Dismissal_5[[#This Row],[Start]]),ISBLANK(Term4_Early_Dismissal_5[[#This Row],[End]])),"",(Term4_Early_Dismissal_5[[#This Row],[End]]-Term4_Early_Dismissal_5[[#This Row],[Start]])*1440)</f>
        <v/>
      </c>
      <c r="AH73" s="105" t="str">
        <f>IF(ISBLANK(Term4_Early_Dismissal_5[[#This Row],[Activity]]),"",IF(_xlfn.XLOOKUP(Term4_Early_Dismissal_5[[#This Row],[Activity]],Types_of_Activity[Type of Activity],Types_of_Activity[Classification])=1,Term4_Early_Dismissal_5[[#This Row],[Elapsed]],0))</f>
        <v/>
      </c>
      <c r="AI73" s="105" t="str">
        <f>IF(ISBLANK(Term4_Early_Dismissal_5[[#This Row],[Activity]]),"",IF(_xlfn.XLOOKUP(Term4_Early_Dismissal_5[[#This Row],[Activity]],Types_of_Activity[Type of Activity],Types_of_Activity[Classification])=2,Term4_Early_Dismissal_5[[#This Row],[Elapsed]],0))</f>
        <v/>
      </c>
      <c r="AK73" s="135"/>
      <c r="AL73" s="135"/>
      <c r="AM73" s="102"/>
      <c r="AN73" s="105" t="str">
        <f>IF(OR(ISBLANK(Term4_Early_Dismissal_6[[#This Row],[Start]]),ISBLANK(Term4_Early_Dismissal_6[[#This Row],[End]])),"",(Term4_Early_Dismissal_6[[#This Row],[End]]-Term4_Early_Dismissal_6[[#This Row],[Start]])*1440)</f>
        <v/>
      </c>
      <c r="AO73" s="105" t="str">
        <f>IF(ISBLANK(Term4_Early_Dismissal_6[[#This Row],[Activity]]),"",IF(_xlfn.XLOOKUP(Term4_Early_Dismissal_6[[#This Row],[Activity]],Types_of_Activity[Type of Activity],Types_of_Activity[Classification])=1,Term4_Early_Dismissal_6[[#This Row],[Elapsed]],0))</f>
        <v/>
      </c>
      <c r="AP73" s="105" t="str">
        <f>IF(ISBLANK(Term4_Early_Dismissal_6[[#This Row],[Activity]]),"",IF(_xlfn.XLOOKUP(Term4_Early_Dismissal_6[[#This Row],[Activity]],Types_of_Activity[Type of Activity],Types_of_Activity[Classification])=2,Term4_Early_Dismissal_6[[#This Row],[Elapsed]],0))</f>
        <v/>
      </c>
    </row>
    <row r="74" spans="2:42" x14ac:dyDescent="0.3">
      <c r="B74" s="135"/>
      <c r="C74" s="135"/>
      <c r="D74" s="102"/>
      <c r="E74" s="105" t="str">
        <f>IF(OR(ISBLANK(Term4_Early_Dismissal_1[[#This Row],[Start]]),ISBLANK(Term4_Early_Dismissal_1[[#This Row],[End]])),"",(Term4_Early_Dismissal_1[[#This Row],[End]]-Term4_Early_Dismissal_1[[#This Row],[Start]])*1440)</f>
        <v/>
      </c>
      <c r="F74" s="105" t="str">
        <f>IF(ISBLANK(Term4_Early_Dismissal_1[[#This Row],[Activity]]),"",IF(_xlfn.XLOOKUP(Term4_Early_Dismissal_1[[#This Row],[Activity]],Types_of_Activity[Type of Activity],Types_of_Activity[Classification])=1,Term4_Early_Dismissal_1[[#This Row],[Elapsed]],0))</f>
        <v/>
      </c>
      <c r="G74" s="105" t="str">
        <f>IF(ISBLANK(Term4_Early_Dismissal_1[[#This Row],[Activity]]),"",IF(_xlfn.XLOOKUP(Term4_Early_Dismissal_1[[#This Row],[Activity]],Types_of_Activity[Type of Activity],Types_of_Activity[Classification])=2,Term4_Early_Dismissal_1[[#This Row],[Elapsed]],0))</f>
        <v/>
      </c>
      <c r="H74"/>
      <c r="I74" s="135"/>
      <c r="J74" s="135"/>
      <c r="K74" s="102"/>
      <c r="L74" s="105" t="str">
        <f>IF(OR(ISBLANK(Term4_Early_Dismissal_2[[#This Row],[Start]]),ISBLANK(Term4_Early_Dismissal_2[[#This Row],[End]])),"",(Term4_Early_Dismissal_2[[#This Row],[End]]-Term4_Early_Dismissal_2[[#This Row],[Start]])*1440)</f>
        <v/>
      </c>
      <c r="M74" s="105" t="str">
        <f>IF(ISBLANK(Term4_Early_Dismissal_2[[#This Row],[Activity]]),"",IF(_xlfn.XLOOKUP(Term4_Early_Dismissal_2[[#This Row],[Activity]],Types_of_Activity[Type of Activity],Types_of_Activity[Classification])=1,Term4_Early_Dismissal_2[[#This Row],[Elapsed]],0))</f>
        <v/>
      </c>
      <c r="N74" s="105" t="str">
        <f>IF(ISBLANK(Term4_Early_Dismissal_2[[#This Row],[Activity]]),"",IF(_xlfn.XLOOKUP(Term4_Early_Dismissal_2[[#This Row],[Activity]],Types_of_Activity[Type of Activity],Types_of_Activity[Classification])=2,Term4_Early_Dismissal_2[[#This Row],[Elapsed]],0))</f>
        <v/>
      </c>
      <c r="O74"/>
      <c r="P74" s="135"/>
      <c r="Q74" s="135"/>
      <c r="R74" s="102"/>
      <c r="S74" s="105" t="str">
        <f>IF(OR(ISBLANK(Term4_Early_Dismissal_3[[#This Row],[Start]]),ISBLANK(Term4_Early_Dismissal_3[[#This Row],[End]])),"",(Term4_Early_Dismissal_3[[#This Row],[End]]-Term4_Early_Dismissal_3[[#This Row],[Start]])*1440)</f>
        <v/>
      </c>
      <c r="T74" s="105" t="str">
        <f>IF(ISBLANK(Term4_Early_Dismissal_3[[#This Row],[Activity]]),"",IF(_xlfn.XLOOKUP(Term4_Early_Dismissal_3[[#This Row],[Activity]],Types_of_Activity[Type of Activity],Types_of_Activity[Classification])=1,Term4_Early_Dismissal_3[[#This Row],[Elapsed]],0))</f>
        <v/>
      </c>
      <c r="U74" s="105" t="str">
        <f>IF(ISBLANK(Term4_Early_Dismissal_3[[#This Row],[Activity]]),"",IF(_xlfn.XLOOKUP(Term4_Early_Dismissal_3[[#This Row],[Activity]],Types_of_Activity[Type of Activity],Types_of_Activity[Classification])=2,Term4_Early_Dismissal_3[[#This Row],[Elapsed]],0))</f>
        <v/>
      </c>
      <c r="W74" s="135"/>
      <c r="X74" s="135"/>
      <c r="Y74" s="102"/>
      <c r="Z74" s="105" t="str">
        <f>IF(OR(ISBLANK(Term4_Early_Dismissal_4[[#This Row],[Start]]),ISBLANK(Term4_Early_Dismissal_4[[#This Row],[End]])),"",(Term4_Early_Dismissal_4[[#This Row],[End]]-Term4_Early_Dismissal_4[[#This Row],[Start]])*1440)</f>
        <v/>
      </c>
      <c r="AA74" s="105" t="str">
        <f>IF(ISBLANK(Term4_Early_Dismissal_4[[#This Row],[Activity]]),"",IF(_xlfn.XLOOKUP(Term4_Early_Dismissal_4[[#This Row],[Activity]],Types_of_Activity[Type of Activity],Types_of_Activity[Classification])=1,Term4_Early_Dismissal_4[[#This Row],[Elapsed]],0))</f>
        <v/>
      </c>
      <c r="AB74" s="105" t="str">
        <f>IF(ISBLANK(Term4_Early_Dismissal_4[[#This Row],[Activity]]),"",IF(_xlfn.XLOOKUP(Term4_Early_Dismissal_4[[#This Row],[Activity]],Types_of_Activity[Type of Activity],Types_of_Activity[Classification])=2,Term4_Early_Dismissal_4[[#This Row],[Elapsed]],0))</f>
        <v/>
      </c>
      <c r="AD74" s="135"/>
      <c r="AE74" s="135"/>
      <c r="AF74" s="102"/>
      <c r="AG74" s="105" t="str">
        <f>IF(OR(ISBLANK(Term4_Early_Dismissal_5[[#This Row],[Start]]),ISBLANK(Term4_Early_Dismissal_5[[#This Row],[End]])),"",(Term4_Early_Dismissal_5[[#This Row],[End]]-Term4_Early_Dismissal_5[[#This Row],[Start]])*1440)</f>
        <v/>
      </c>
      <c r="AH74" s="105" t="str">
        <f>IF(ISBLANK(Term4_Early_Dismissal_5[[#This Row],[Activity]]),"",IF(_xlfn.XLOOKUP(Term4_Early_Dismissal_5[[#This Row],[Activity]],Types_of_Activity[Type of Activity],Types_of_Activity[Classification])=1,Term4_Early_Dismissal_5[[#This Row],[Elapsed]],0))</f>
        <v/>
      </c>
      <c r="AI74" s="105" t="str">
        <f>IF(ISBLANK(Term4_Early_Dismissal_5[[#This Row],[Activity]]),"",IF(_xlfn.XLOOKUP(Term4_Early_Dismissal_5[[#This Row],[Activity]],Types_of_Activity[Type of Activity],Types_of_Activity[Classification])=2,Term4_Early_Dismissal_5[[#This Row],[Elapsed]],0))</f>
        <v/>
      </c>
      <c r="AK74" s="135"/>
      <c r="AL74" s="135"/>
      <c r="AM74" s="102"/>
      <c r="AN74" s="105" t="str">
        <f>IF(OR(ISBLANK(Term4_Early_Dismissal_6[[#This Row],[Start]]),ISBLANK(Term4_Early_Dismissal_6[[#This Row],[End]])),"",(Term4_Early_Dismissal_6[[#This Row],[End]]-Term4_Early_Dismissal_6[[#This Row],[Start]])*1440)</f>
        <v/>
      </c>
      <c r="AO74" s="105" t="str">
        <f>IF(ISBLANK(Term4_Early_Dismissal_6[[#This Row],[Activity]]),"",IF(_xlfn.XLOOKUP(Term4_Early_Dismissal_6[[#This Row],[Activity]],Types_of_Activity[Type of Activity],Types_of_Activity[Classification])=1,Term4_Early_Dismissal_6[[#This Row],[Elapsed]],0))</f>
        <v/>
      </c>
      <c r="AP74" s="105" t="str">
        <f>IF(ISBLANK(Term4_Early_Dismissal_6[[#This Row],[Activity]]),"",IF(_xlfn.XLOOKUP(Term4_Early_Dismissal_6[[#This Row],[Activity]],Types_of_Activity[Type of Activity],Types_of_Activity[Classification])=2,Term4_Early_Dismissal_6[[#This Row],[Elapsed]],0))</f>
        <v/>
      </c>
    </row>
    <row r="75" spans="2:42" x14ac:dyDescent="0.3">
      <c r="B75" s="135"/>
      <c r="C75" s="135"/>
      <c r="D75" s="102"/>
      <c r="E75" s="105" t="str">
        <f>IF(OR(ISBLANK(Term4_Early_Dismissal_1[[#This Row],[Start]]),ISBLANK(Term4_Early_Dismissal_1[[#This Row],[End]])),"",(Term4_Early_Dismissal_1[[#This Row],[End]]-Term4_Early_Dismissal_1[[#This Row],[Start]])*1440)</f>
        <v/>
      </c>
      <c r="F75" s="105" t="str">
        <f>IF(ISBLANK(Term4_Early_Dismissal_1[[#This Row],[Activity]]),"",IF(_xlfn.XLOOKUP(Term4_Early_Dismissal_1[[#This Row],[Activity]],Types_of_Activity[Type of Activity],Types_of_Activity[Classification])=1,Term4_Early_Dismissal_1[[#This Row],[Elapsed]],0))</f>
        <v/>
      </c>
      <c r="G75" s="105" t="str">
        <f>IF(ISBLANK(Term4_Early_Dismissal_1[[#This Row],[Activity]]),"",IF(_xlfn.XLOOKUP(Term4_Early_Dismissal_1[[#This Row],[Activity]],Types_of_Activity[Type of Activity],Types_of_Activity[Classification])=2,Term4_Early_Dismissal_1[[#This Row],[Elapsed]],0))</f>
        <v/>
      </c>
      <c r="H75"/>
      <c r="I75" s="135"/>
      <c r="J75" s="135"/>
      <c r="K75" s="102"/>
      <c r="L75" s="105" t="str">
        <f>IF(OR(ISBLANK(Term4_Early_Dismissal_2[[#This Row],[Start]]),ISBLANK(Term4_Early_Dismissal_2[[#This Row],[End]])),"",(Term4_Early_Dismissal_2[[#This Row],[End]]-Term4_Early_Dismissal_2[[#This Row],[Start]])*1440)</f>
        <v/>
      </c>
      <c r="M75" s="105" t="str">
        <f>IF(ISBLANK(Term4_Early_Dismissal_2[[#This Row],[Activity]]),"",IF(_xlfn.XLOOKUP(Term4_Early_Dismissal_2[[#This Row],[Activity]],Types_of_Activity[Type of Activity],Types_of_Activity[Classification])=1,Term4_Early_Dismissal_2[[#This Row],[Elapsed]],0))</f>
        <v/>
      </c>
      <c r="N75" s="105" t="str">
        <f>IF(ISBLANK(Term4_Early_Dismissal_2[[#This Row],[Activity]]),"",IF(_xlfn.XLOOKUP(Term4_Early_Dismissal_2[[#This Row],[Activity]],Types_of_Activity[Type of Activity],Types_of_Activity[Classification])=2,Term4_Early_Dismissal_2[[#This Row],[Elapsed]],0))</f>
        <v/>
      </c>
      <c r="O75"/>
      <c r="P75" s="135"/>
      <c r="Q75" s="135"/>
      <c r="R75" s="102"/>
      <c r="S75" s="105" t="str">
        <f>IF(OR(ISBLANK(Term4_Early_Dismissal_3[[#This Row],[Start]]),ISBLANK(Term4_Early_Dismissal_3[[#This Row],[End]])),"",(Term4_Early_Dismissal_3[[#This Row],[End]]-Term4_Early_Dismissal_3[[#This Row],[Start]])*1440)</f>
        <v/>
      </c>
      <c r="T75" s="105" t="str">
        <f>IF(ISBLANK(Term4_Early_Dismissal_3[[#This Row],[Activity]]),"",IF(_xlfn.XLOOKUP(Term4_Early_Dismissal_3[[#This Row],[Activity]],Types_of_Activity[Type of Activity],Types_of_Activity[Classification])=1,Term4_Early_Dismissal_3[[#This Row],[Elapsed]],0))</f>
        <v/>
      </c>
      <c r="U75" s="105" t="str">
        <f>IF(ISBLANK(Term4_Early_Dismissal_3[[#This Row],[Activity]]),"",IF(_xlfn.XLOOKUP(Term4_Early_Dismissal_3[[#This Row],[Activity]],Types_of_Activity[Type of Activity],Types_of_Activity[Classification])=2,Term4_Early_Dismissal_3[[#This Row],[Elapsed]],0))</f>
        <v/>
      </c>
      <c r="W75" s="135"/>
      <c r="X75" s="135"/>
      <c r="Y75" s="102"/>
      <c r="Z75" s="105" t="str">
        <f>IF(OR(ISBLANK(Term4_Early_Dismissal_4[[#This Row],[Start]]),ISBLANK(Term4_Early_Dismissal_4[[#This Row],[End]])),"",(Term4_Early_Dismissal_4[[#This Row],[End]]-Term4_Early_Dismissal_4[[#This Row],[Start]])*1440)</f>
        <v/>
      </c>
      <c r="AA75" s="105" t="str">
        <f>IF(ISBLANK(Term4_Early_Dismissal_4[[#This Row],[Activity]]),"",IF(_xlfn.XLOOKUP(Term4_Early_Dismissal_4[[#This Row],[Activity]],Types_of_Activity[Type of Activity],Types_of_Activity[Classification])=1,Term4_Early_Dismissal_4[[#This Row],[Elapsed]],0))</f>
        <v/>
      </c>
      <c r="AB75" s="105" t="str">
        <f>IF(ISBLANK(Term4_Early_Dismissal_4[[#This Row],[Activity]]),"",IF(_xlfn.XLOOKUP(Term4_Early_Dismissal_4[[#This Row],[Activity]],Types_of_Activity[Type of Activity],Types_of_Activity[Classification])=2,Term4_Early_Dismissal_4[[#This Row],[Elapsed]],0))</f>
        <v/>
      </c>
      <c r="AD75" s="135"/>
      <c r="AE75" s="135"/>
      <c r="AF75" s="102"/>
      <c r="AG75" s="105" t="str">
        <f>IF(OR(ISBLANK(Term4_Early_Dismissal_5[[#This Row],[Start]]),ISBLANK(Term4_Early_Dismissal_5[[#This Row],[End]])),"",(Term4_Early_Dismissal_5[[#This Row],[End]]-Term4_Early_Dismissal_5[[#This Row],[Start]])*1440)</f>
        <v/>
      </c>
      <c r="AH75" s="105" t="str">
        <f>IF(ISBLANK(Term4_Early_Dismissal_5[[#This Row],[Activity]]),"",IF(_xlfn.XLOOKUP(Term4_Early_Dismissal_5[[#This Row],[Activity]],Types_of_Activity[Type of Activity],Types_of_Activity[Classification])=1,Term4_Early_Dismissal_5[[#This Row],[Elapsed]],0))</f>
        <v/>
      </c>
      <c r="AI75" s="105" t="str">
        <f>IF(ISBLANK(Term4_Early_Dismissal_5[[#This Row],[Activity]]),"",IF(_xlfn.XLOOKUP(Term4_Early_Dismissal_5[[#This Row],[Activity]],Types_of_Activity[Type of Activity],Types_of_Activity[Classification])=2,Term4_Early_Dismissal_5[[#This Row],[Elapsed]],0))</f>
        <v/>
      </c>
      <c r="AK75" s="135"/>
      <c r="AL75" s="135"/>
      <c r="AM75" s="102"/>
      <c r="AN75" s="105" t="str">
        <f>IF(OR(ISBLANK(Term4_Early_Dismissal_6[[#This Row],[Start]]),ISBLANK(Term4_Early_Dismissal_6[[#This Row],[End]])),"",(Term4_Early_Dismissal_6[[#This Row],[End]]-Term4_Early_Dismissal_6[[#This Row],[Start]])*1440)</f>
        <v/>
      </c>
      <c r="AO75" s="105" t="str">
        <f>IF(ISBLANK(Term4_Early_Dismissal_6[[#This Row],[Activity]]),"",IF(_xlfn.XLOOKUP(Term4_Early_Dismissal_6[[#This Row],[Activity]],Types_of_Activity[Type of Activity],Types_of_Activity[Classification])=1,Term4_Early_Dismissal_6[[#This Row],[Elapsed]],0))</f>
        <v/>
      </c>
      <c r="AP75" s="105" t="str">
        <f>IF(ISBLANK(Term4_Early_Dismissal_6[[#This Row],[Activity]]),"",IF(_xlfn.XLOOKUP(Term4_Early_Dismissal_6[[#This Row],[Activity]],Types_of_Activity[Type of Activity],Types_of_Activity[Classification])=2,Term4_Early_Dismissal_6[[#This Row],[Elapsed]],0))</f>
        <v/>
      </c>
    </row>
    <row r="76" spans="2:42" x14ac:dyDescent="0.3">
      <c r="B76" s="135"/>
      <c r="C76" s="135"/>
      <c r="D76" s="102"/>
      <c r="E76" s="105" t="str">
        <f>IF(OR(ISBLANK(Term4_Early_Dismissal_1[[#This Row],[Start]]),ISBLANK(Term4_Early_Dismissal_1[[#This Row],[End]])),"",(Term4_Early_Dismissal_1[[#This Row],[End]]-Term4_Early_Dismissal_1[[#This Row],[Start]])*1440)</f>
        <v/>
      </c>
      <c r="F76" s="105" t="str">
        <f>IF(ISBLANK(Term4_Early_Dismissal_1[[#This Row],[Activity]]),"",IF(_xlfn.XLOOKUP(Term4_Early_Dismissal_1[[#This Row],[Activity]],Types_of_Activity[Type of Activity],Types_of_Activity[Classification])=1,Term4_Early_Dismissal_1[[#This Row],[Elapsed]],0))</f>
        <v/>
      </c>
      <c r="G76" s="105" t="str">
        <f>IF(ISBLANK(Term4_Early_Dismissal_1[[#This Row],[Activity]]),"",IF(_xlfn.XLOOKUP(Term4_Early_Dismissal_1[[#This Row],[Activity]],Types_of_Activity[Type of Activity],Types_of_Activity[Classification])=2,Term4_Early_Dismissal_1[[#This Row],[Elapsed]],0))</f>
        <v/>
      </c>
      <c r="H76"/>
      <c r="I76" s="135"/>
      <c r="J76" s="135"/>
      <c r="K76" s="102"/>
      <c r="L76" s="105" t="str">
        <f>IF(OR(ISBLANK(Term4_Early_Dismissal_2[[#This Row],[Start]]),ISBLANK(Term4_Early_Dismissal_2[[#This Row],[End]])),"",(Term4_Early_Dismissal_2[[#This Row],[End]]-Term4_Early_Dismissal_2[[#This Row],[Start]])*1440)</f>
        <v/>
      </c>
      <c r="M76" s="105" t="str">
        <f>IF(ISBLANK(Term4_Early_Dismissal_2[[#This Row],[Activity]]),"",IF(_xlfn.XLOOKUP(Term4_Early_Dismissal_2[[#This Row],[Activity]],Types_of_Activity[Type of Activity],Types_of_Activity[Classification])=1,Term4_Early_Dismissal_2[[#This Row],[Elapsed]],0))</f>
        <v/>
      </c>
      <c r="N76" s="105" t="str">
        <f>IF(ISBLANK(Term4_Early_Dismissal_2[[#This Row],[Activity]]),"",IF(_xlfn.XLOOKUP(Term4_Early_Dismissal_2[[#This Row],[Activity]],Types_of_Activity[Type of Activity],Types_of_Activity[Classification])=2,Term4_Early_Dismissal_2[[#This Row],[Elapsed]],0))</f>
        <v/>
      </c>
      <c r="O76"/>
      <c r="P76" s="135"/>
      <c r="Q76" s="135"/>
      <c r="R76" s="102"/>
      <c r="S76" s="105" t="str">
        <f>IF(OR(ISBLANK(Term4_Early_Dismissal_3[[#This Row],[Start]]),ISBLANK(Term4_Early_Dismissal_3[[#This Row],[End]])),"",(Term4_Early_Dismissal_3[[#This Row],[End]]-Term4_Early_Dismissal_3[[#This Row],[Start]])*1440)</f>
        <v/>
      </c>
      <c r="T76" s="105" t="str">
        <f>IF(ISBLANK(Term4_Early_Dismissal_3[[#This Row],[Activity]]),"",IF(_xlfn.XLOOKUP(Term4_Early_Dismissal_3[[#This Row],[Activity]],Types_of_Activity[Type of Activity],Types_of_Activity[Classification])=1,Term4_Early_Dismissal_3[[#This Row],[Elapsed]],0))</f>
        <v/>
      </c>
      <c r="U76" s="105" t="str">
        <f>IF(ISBLANK(Term4_Early_Dismissal_3[[#This Row],[Activity]]),"",IF(_xlfn.XLOOKUP(Term4_Early_Dismissal_3[[#This Row],[Activity]],Types_of_Activity[Type of Activity],Types_of_Activity[Classification])=2,Term4_Early_Dismissal_3[[#This Row],[Elapsed]],0))</f>
        <v/>
      </c>
      <c r="W76" s="135"/>
      <c r="X76" s="135"/>
      <c r="Y76" s="102"/>
      <c r="Z76" s="105" t="str">
        <f>IF(OR(ISBLANK(Term4_Early_Dismissal_4[[#This Row],[Start]]),ISBLANK(Term4_Early_Dismissal_4[[#This Row],[End]])),"",(Term4_Early_Dismissal_4[[#This Row],[End]]-Term4_Early_Dismissal_4[[#This Row],[Start]])*1440)</f>
        <v/>
      </c>
      <c r="AA76" s="105" t="str">
        <f>IF(ISBLANK(Term4_Early_Dismissal_4[[#This Row],[Activity]]),"",IF(_xlfn.XLOOKUP(Term4_Early_Dismissal_4[[#This Row],[Activity]],Types_of_Activity[Type of Activity],Types_of_Activity[Classification])=1,Term4_Early_Dismissal_4[[#This Row],[Elapsed]],0))</f>
        <v/>
      </c>
      <c r="AB76" s="105" t="str">
        <f>IF(ISBLANK(Term4_Early_Dismissal_4[[#This Row],[Activity]]),"",IF(_xlfn.XLOOKUP(Term4_Early_Dismissal_4[[#This Row],[Activity]],Types_of_Activity[Type of Activity],Types_of_Activity[Classification])=2,Term4_Early_Dismissal_4[[#This Row],[Elapsed]],0))</f>
        <v/>
      </c>
      <c r="AD76" s="135"/>
      <c r="AE76" s="135"/>
      <c r="AF76" s="102"/>
      <c r="AG76" s="105" t="str">
        <f>IF(OR(ISBLANK(Term4_Early_Dismissal_5[[#This Row],[Start]]),ISBLANK(Term4_Early_Dismissal_5[[#This Row],[End]])),"",(Term4_Early_Dismissal_5[[#This Row],[End]]-Term4_Early_Dismissal_5[[#This Row],[Start]])*1440)</f>
        <v/>
      </c>
      <c r="AH76" s="105" t="str">
        <f>IF(ISBLANK(Term4_Early_Dismissal_5[[#This Row],[Activity]]),"",IF(_xlfn.XLOOKUP(Term4_Early_Dismissal_5[[#This Row],[Activity]],Types_of_Activity[Type of Activity],Types_of_Activity[Classification])=1,Term4_Early_Dismissal_5[[#This Row],[Elapsed]],0))</f>
        <v/>
      </c>
      <c r="AI76" s="105" t="str">
        <f>IF(ISBLANK(Term4_Early_Dismissal_5[[#This Row],[Activity]]),"",IF(_xlfn.XLOOKUP(Term4_Early_Dismissal_5[[#This Row],[Activity]],Types_of_Activity[Type of Activity],Types_of_Activity[Classification])=2,Term4_Early_Dismissal_5[[#This Row],[Elapsed]],0))</f>
        <v/>
      </c>
      <c r="AK76" s="135"/>
      <c r="AL76" s="135"/>
      <c r="AM76" s="102"/>
      <c r="AN76" s="105" t="str">
        <f>IF(OR(ISBLANK(Term4_Early_Dismissal_6[[#This Row],[Start]]),ISBLANK(Term4_Early_Dismissal_6[[#This Row],[End]])),"",(Term4_Early_Dismissal_6[[#This Row],[End]]-Term4_Early_Dismissal_6[[#This Row],[Start]])*1440)</f>
        <v/>
      </c>
      <c r="AO76" s="105" t="str">
        <f>IF(ISBLANK(Term4_Early_Dismissal_6[[#This Row],[Activity]]),"",IF(_xlfn.XLOOKUP(Term4_Early_Dismissal_6[[#This Row],[Activity]],Types_of_Activity[Type of Activity],Types_of_Activity[Classification])=1,Term4_Early_Dismissal_6[[#This Row],[Elapsed]],0))</f>
        <v/>
      </c>
      <c r="AP76" s="105" t="str">
        <f>IF(ISBLANK(Term4_Early_Dismissal_6[[#This Row],[Activity]]),"",IF(_xlfn.XLOOKUP(Term4_Early_Dismissal_6[[#This Row],[Activity]],Types_of_Activity[Type of Activity],Types_of_Activity[Classification])=2,Term4_Early_Dismissal_6[[#This Row],[Elapsed]],0))</f>
        <v/>
      </c>
    </row>
    <row r="77" spans="2:42" x14ac:dyDescent="0.3">
      <c r="B77" s="135"/>
      <c r="C77" s="135"/>
      <c r="D77" s="102"/>
      <c r="E77" s="105" t="str">
        <f>IF(OR(ISBLANK(Term4_Early_Dismissal_1[[#This Row],[Start]]),ISBLANK(Term4_Early_Dismissal_1[[#This Row],[End]])),"",(Term4_Early_Dismissal_1[[#This Row],[End]]-Term4_Early_Dismissal_1[[#This Row],[Start]])*1440)</f>
        <v/>
      </c>
      <c r="F77" s="105" t="str">
        <f>IF(ISBLANK(Term4_Early_Dismissal_1[[#This Row],[Activity]]),"",IF(_xlfn.XLOOKUP(Term4_Early_Dismissal_1[[#This Row],[Activity]],Types_of_Activity[Type of Activity],Types_of_Activity[Classification])=1,Term4_Early_Dismissal_1[[#This Row],[Elapsed]],0))</f>
        <v/>
      </c>
      <c r="G77" s="105" t="str">
        <f>IF(ISBLANK(Term4_Early_Dismissal_1[[#This Row],[Activity]]),"",IF(_xlfn.XLOOKUP(Term4_Early_Dismissal_1[[#This Row],[Activity]],Types_of_Activity[Type of Activity],Types_of_Activity[Classification])=2,Term4_Early_Dismissal_1[[#This Row],[Elapsed]],0))</f>
        <v/>
      </c>
      <c r="H77"/>
      <c r="I77" s="135"/>
      <c r="J77" s="135"/>
      <c r="K77" s="102"/>
      <c r="L77" s="105" t="str">
        <f>IF(OR(ISBLANK(Term4_Early_Dismissal_2[[#This Row],[Start]]),ISBLANK(Term4_Early_Dismissal_2[[#This Row],[End]])),"",(Term4_Early_Dismissal_2[[#This Row],[End]]-Term4_Early_Dismissal_2[[#This Row],[Start]])*1440)</f>
        <v/>
      </c>
      <c r="M77" s="105" t="str">
        <f>IF(ISBLANK(Term4_Early_Dismissal_2[[#This Row],[Activity]]),"",IF(_xlfn.XLOOKUP(Term4_Early_Dismissal_2[[#This Row],[Activity]],Types_of_Activity[Type of Activity],Types_of_Activity[Classification])=1,Term4_Early_Dismissal_2[[#This Row],[Elapsed]],0))</f>
        <v/>
      </c>
      <c r="N77" s="105" t="str">
        <f>IF(ISBLANK(Term4_Early_Dismissal_2[[#This Row],[Activity]]),"",IF(_xlfn.XLOOKUP(Term4_Early_Dismissal_2[[#This Row],[Activity]],Types_of_Activity[Type of Activity],Types_of_Activity[Classification])=2,Term4_Early_Dismissal_2[[#This Row],[Elapsed]],0))</f>
        <v/>
      </c>
      <c r="O77"/>
      <c r="P77" s="135"/>
      <c r="Q77" s="135"/>
      <c r="R77" s="102"/>
      <c r="S77" s="105" t="str">
        <f>IF(OR(ISBLANK(Term4_Early_Dismissal_3[[#This Row],[Start]]),ISBLANK(Term4_Early_Dismissal_3[[#This Row],[End]])),"",(Term4_Early_Dismissal_3[[#This Row],[End]]-Term4_Early_Dismissal_3[[#This Row],[Start]])*1440)</f>
        <v/>
      </c>
      <c r="T77" s="105" t="str">
        <f>IF(ISBLANK(Term4_Early_Dismissal_3[[#This Row],[Activity]]),"",IF(_xlfn.XLOOKUP(Term4_Early_Dismissal_3[[#This Row],[Activity]],Types_of_Activity[Type of Activity],Types_of_Activity[Classification])=1,Term4_Early_Dismissal_3[[#This Row],[Elapsed]],0))</f>
        <v/>
      </c>
      <c r="U77" s="105" t="str">
        <f>IF(ISBLANK(Term4_Early_Dismissal_3[[#This Row],[Activity]]),"",IF(_xlfn.XLOOKUP(Term4_Early_Dismissal_3[[#This Row],[Activity]],Types_of_Activity[Type of Activity],Types_of_Activity[Classification])=2,Term4_Early_Dismissal_3[[#This Row],[Elapsed]],0))</f>
        <v/>
      </c>
      <c r="W77" s="135"/>
      <c r="X77" s="135"/>
      <c r="Y77" s="102"/>
      <c r="Z77" s="105" t="str">
        <f>IF(OR(ISBLANK(Term4_Early_Dismissal_4[[#This Row],[Start]]),ISBLANK(Term4_Early_Dismissal_4[[#This Row],[End]])),"",(Term4_Early_Dismissal_4[[#This Row],[End]]-Term4_Early_Dismissal_4[[#This Row],[Start]])*1440)</f>
        <v/>
      </c>
      <c r="AA77" s="105" t="str">
        <f>IF(ISBLANK(Term4_Early_Dismissal_4[[#This Row],[Activity]]),"",IF(_xlfn.XLOOKUP(Term4_Early_Dismissal_4[[#This Row],[Activity]],Types_of_Activity[Type of Activity],Types_of_Activity[Classification])=1,Term4_Early_Dismissal_4[[#This Row],[Elapsed]],0))</f>
        <v/>
      </c>
      <c r="AB77" s="105" t="str">
        <f>IF(ISBLANK(Term4_Early_Dismissal_4[[#This Row],[Activity]]),"",IF(_xlfn.XLOOKUP(Term4_Early_Dismissal_4[[#This Row],[Activity]],Types_of_Activity[Type of Activity],Types_of_Activity[Classification])=2,Term4_Early_Dismissal_4[[#This Row],[Elapsed]],0))</f>
        <v/>
      </c>
      <c r="AD77" s="135"/>
      <c r="AE77" s="135"/>
      <c r="AF77" s="102"/>
      <c r="AG77" s="105" t="str">
        <f>IF(OR(ISBLANK(Term4_Early_Dismissal_5[[#This Row],[Start]]),ISBLANK(Term4_Early_Dismissal_5[[#This Row],[End]])),"",(Term4_Early_Dismissal_5[[#This Row],[End]]-Term4_Early_Dismissal_5[[#This Row],[Start]])*1440)</f>
        <v/>
      </c>
      <c r="AH77" s="105" t="str">
        <f>IF(ISBLANK(Term4_Early_Dismissal_5[[#This Row],[Activity]]),"",IF(_xlfn.XLOOKUP(Term4_Early_Dismissal_5[[#This Row],[Activity]],Types_of_Activity[Type of Activity],Types_of_Activity[Classification])=1,Term4_Early_Dismissal_5[[#This Row],[Elapsed]],0))</f>
        <v/>
      </c>
      <c r="AI77" s="105" t="str">
        <f>IF(ISBLANK(Term4_Early_Dismissal_5[[#This Row],[Activity]]),"",IF(_xlfn.XLOOKUP(Term4_Early_Dismissal_5[[#This Row],[Activity]],Types_of_Activity[Type of Activity],Types_of_Activity[Classification])=2,Term4_Early_Dismissal_5[[#This Row],[Elapsed]],0))</f>
        <v/>
      </c>
      <c r="AK77" s="135"/>
      <c r="AL77" s="135"/>
      <c r="AM77" s="102"/>
      <c r="AN77" s="105" t="str">
        <f>IF(OR(ISBLANK(Term4_Early_Dismissal_6[[#This Row],[Start]]),ISBLANK(Term4_Early_Dismissal_6[[#This Row],[End]])),"",(Term4_Early_Dismissal_6[[#This Row],[End]]-Term4_Early_Dismissal_6[[#This Row],[Start]])*1440)</f>
        <v/>
      </c>
      <c r="AO77" s="105" t="str">
        <f>IF(ISBLANK(Term4_Early_Dismissal_6[[#This Row],[Activity]]),"",IF(_xlfn.XLOOKUP(Term4_Early_Dismissal_6[[#This Row],[Activity]],Types_of_Activity[Type of Activity],Types_of_Activity[Classification])=1,Term4_Early_Dismissal_6[[#This Row],[Elapsed]],0))</f>
        <v/>
      </c>
      <c r="AP77" s="105" t="str">
        <f>IF(ISBLANK(Term4_Early_Dismissal_6[[#This Row],[Activity]]),"",IF(_xlfn.XLOOKUP(Term4_Early_Dismissal_6[[#This Row],[Activity]],Types_of_Activity[Type of Activity],Types_of_Activity[Classification])=2,Term4_Early_Dismissal_6[[#This Row],[Elapsed]],0))</f>
        <v/>
      </c>
    </row>
    <row r="78" spans="2:42" x14ac:dyDescent="0.3">
      <c r="B78" s="135"/>
      <c r="C78" s="135"/>
      <c r="D78" s="102"/>
      <c r="E78" s="105" t="str">
        <f>IF(OR(ISBLANK(Term4_Early_Dismissal_1[[#This Row],[Start]]),ISBLANK(Term4_Early_Dismissal_1[[#This Row],[End]])),"",(Term4_Early_Dismissal_1[[#This Row],[End]]-Term4_Early_Dismissal_1[[#This Row],[Start]])*1440)</f>
        <v/>
      </c>
      <c r="F78" s="105" t="str">
        <f>IF(ISBLANK(Term4_Early_Dismissal_1[[#This Row],[Activity]]),"",IF(_xlfn.XLOOKUP(Term4_Early_Dismissal_1[[#This Row],[Activity]],Types_of_Activity[Type of Activity],Types_of_Activity[Classification])=1,Term4_Early_Dismissal_1[[#This Row],[Elapsed]],0))</f>
        <v/>
      </c>
      <c r="G78" s="105" t="str">
        <f>IF(ISBLANK(Term4_Early_Dismissal_1[[#This Row],[Activity]]),"",IF(_xlfn.XLOOKUP(Term4_Early_Dismissal_1[[#This Row],[Activity]],Types_of_Activity[Type of Activity],Types_of_Activity[Classification])=2,Term4_Early_Dismissal_1[[#This Row],[Elapsed]],0))</f>
        <v/>
      </c>
      <c r="H78"/>
      <c r="I78" s="135"/>
      <c r="J78" s="135"/>
      <c r="K78" s="102"/>
      <c r="L78" s="105" t="str">
        <f>IF(OR(ISBLANK(Term4_Early_Dismissal_2[[#This Row],[Start]]),ISBLANK(Term4_Early_Dismissal_2[[#This Row],[End]])),"",(Term4_Early_Dismissal_2[[#This Row],[End]]-Term4_Early_Dismissal_2[[#This Row],[Start]])*1440)</f>
        <v/>
      </c>
      <c r="M78" s="105" t="str">
        <f>IF(ISBLANK(Term4_Early_Dismissal_2[[#This Row],[Activity]]),"",IF(_xlfn.XLOOKUP(Term4_Early_Dismissal_2[[#This Row],[Activity]],Types_of_Activity[Type of Activity],Types_of_Activity[Classification])=1,Term4_Early_Dismissal_2[[#This Row],[Elapsed]],0))</f>
        <v/>
      </c>
      <c r="N78" s="105" t="str">
        <f>IF(ISBLANK(Term4_Early_Dismissal_2[[#This Row],[Activity]]),"",IF(_xlfn.XLOOKUP(Term4_Early_Dismissal_2[[#This Row],[Activity]],Types_of_Activity[Type of Activity],Types_of_Activity[Classification])=2,Term4_Early_Dismissal_2[[#This Row],[Elapsed]],0))</f>
        <v/>
      </c>
      <c r="O78"/>
      <c r="P78" s="135"/>
      <c r="Q78" s="135"/>
      <c r="R78" s="102"/>
      <c r="S78" s="105" t="str">
        <f>IF(OR(ISBLANK(Term4_Early_Dismissal_3[[#This Row],[Start]]),ISBLANK(Term4_Early_Dismissal_3[[#This Row],[End]])),"",(Term4_Early_Dismissal_3[[#This Row],[End]]-Term4_Early_Dismissal_3[[#This Row],[Start]])*1440)</f>
        <v/>
      </c>
      <c r="T78" s="105" t="str">
        <f>IF(ISBLANK(Term4_Early_Dismissal_3[[#This Row],[Activity]]),"",IF(_xlfn.XLOOKUP(Term4_Early_Dismissal_3[[#This Row],[Activity]],Types_of_Activity[Type of Activity],Types_of_Activity[Classification])=1,Term4_Early_Dismissal_3[[#This Row],[Elapsed]],0))</f>
        <v/>
      </c>
      <c r="U78" s="105" t="str">
        <f>IF(ISBLANK(Term4_Early_Dismissal_3[[#This Row],[Activity]]),"",IF(_xlfn.XLOOKUP(Term4_Early_Dismissal_3[[#This Row],[Activity]],Types_of_Activity[Type of Activity],Types_of_Activity[Classification])=2,Term4_Early_Dismissal_3[[#This Row],[Elapsed]],0))</f>
        <v/>
      </c>
      <c r="W78" s="135"/>
      <c r="X78" s="135"/>
      <c r="Y78" s="102"/>
      <c r="Z78" s="105" t="str">
        <f>IF(OR(ISBLANK(Term4_Early_Dismissal_4[[#This Row],[Start]]),ISBLANK(Term4_Early_Dismissal_4[[#This Row],[End]])),"",(Term4_Early_Dismissal_4[[#This Row],[End]]-Term4_Early_Dismissal_4[[#This Row],[Start]])*1440)</f>
        <v/>
      </c>
      <c r="AA78" s="105" t="str">
        <f>IF(ISBLANK(Term4_Early_Dismissal_4[[#This Row],[Activity]]),"",IF(_xlfn.XLOOKUP(Term4_Early_Dismissal_4[[#This Row],[Activity]],Types_of_Activity[Type of Activity],Types_of_Activity[Classification])=1,Term4_Early_Dismissal_4[[#This Row],[Elapsed]],0))</f>
        <v/>
      </c>
      <c r="AB78" s="105" t="str">
        <f>IF(ISBLANK(Term4_Early_Dismissal_4[[#This Row],[Activity]]),"",IF(_xlfn.XLOOKUP(Term4_Early_Dismissal_4[[#This Row],[Activity]],Types_of_Activity[Type of Activity],Types_of_Activity[Classification])=2,Term4_Early_Dismissal_4[[#This Row],[Elapsed]],0))</f>
        <v/>
      </c>
      <c r="AD78" s="135"/>
      <c r="AE78" s="135"/>
      <c r="AF78" s="102"/>
      <c r="AG78" s="105" t="str">
        <f>IF(OR(ISBLANK(Term4_Early_Dismissal_5[[#This Row],[Start]]),ISBLANK(Term4_Early_Dismissal_5[[#This Row],[End]])),"",(Term4_Early_Dismissal_5[[#This Row],[End]]-Term4_Early_Dismissal_5[[#This Row],[Start]])*1440)</f>
        <v/>
      </c>
      <c r="AH78" s="105" t="str">
        <f>IF(ISBLANK(Term4_Early_Dismissal_5[[#This Row],[Activity]]),"",IF(_xlfn.XLOOKUP(Term4_Early_Dismissal_5[[#This Row],[Activity]],Types_of_Activity[Type of Activity],Types_of_Activity[Classification])=1,Term4_Early_Dismissal_5[[#This Row],[Elapsed]],0))</f>
        <v/>
      </c>
      <c r="AI78" s="105" t="str">
        <f>IF(ISBLANK(Term4_Early_Dismissal_5[[#This Row],[Activity]]),"",IF(_xlfn.XLOOKUP(Term4_Early_Dismissal_5[[#This Row],[Activity]],Types_of_Activity[Type of Activity],Types_of_Activity[Classification])=2,Term4_Early_Dismissal_5[[#This Row],[Elapsed]],0))</f>
        <v/>
      </c>
      <c r="AK78" s="135"/>
      <c r="AL78" s="135"/>
      <c r="AM78" s="102"/>
      <c r="AN78" s="105" t="str">
        <f>IF(OR(ISBLANK(Term4_Early_Dismissal_6[[#This Row],[Start]]),ISBLANK(Term4_Early_Dismissal_6[[#This Row],[End]])),"",(Term4_Early_Dismissal_6[[#This Row],[End]]-Term4_Early_Dismissal_6[[#This Row],[Start]])*1440)</f>
        <v/>
      </c>
      <c r="AO78" s="105" t="str">
        <f>IF(ISBLANK(Term4_Early_Dismissal_6[[#This Row],[Activity]]),"",IF(_xlfn.XLOOKUP(Term4_Early_Dismissal_6[[#This Row],[Activity]],Types_of_Activity[Type of Activity],Types_of_Activity[Classification])=1,Term4_Early_Dismissal_6[[#This Row],[Elapsed]],0))</f>
        <v/>
      </c>
      <c r="AP78" s="105" t="str">
        <f>IF(ISBLANK(Term4_Early_Dismissal_6[[#This Row],[Activity]]),"",IF(_xlfn.XLOOKUP(Term4_Early_Dismissal_6[[#This Row],[Activity]],Types_of_Activity[Type of Activity],Types_of_Activity[Classification])=2,Term4_Early_Dismissal_6[[#This Row],[Elapsed]],0))</f>
        <v/>
      </c>
    </row>
    <row r="79" spans="2:42" x14ac:dyDescent="0.3">
      <c r="B79" s="135"/>
      <c r="C79" s="135"/>
      <c r="D79" s="102"/>
      <c r="E79" s="105" t="str">
        <f>IF(OR(ISBLANK(Term4_Early_Dismissal_1[[#This Row],[Start]]),ISBLANK(Term4_Early_Dismissal_1[[#This Row],[End]])),"",(Term4_Early_Dismissal_1[[#This Row],[End]]-Term4_Early_Dismissal_1[[#This Row],[Start]])*1440)</f>
        <v/>
      </c>
      <c r="F79" s="105" t="str">
        <f>IF(ISBLANK(Term4_Early_Dismissal_1[[#This Row],[Activity]]),"",IF(_xlfn.XLOOKUP(Term4_Early_Dismissal_1[[#This Row],[Activity]],Types_of_Activity[Type of Activity],Types_of_Activity[Classification])=1,Term4_Early_Dismissal_1[[#This Row],[Elapsed]],0))</f>
        <v/>
      </c>
      <c r="G79" s="105" t="str">
        <f>IF(ISBLANK(Term4_Early_Dismissal_1[[#This Row],[Activity]]),"",IF(_xlfn.XLOOKUP(Term4_Early_Dismissal_1[[#This Row],[Activity]],Types_of_Activity[Type of Activity],Types_of_Activity[Classification])=2,Term4_Early_Dismissal_1[[#This Row],[Elapsed]],0))</f>
        <v/>
      </c>
      <c r="H79"/>
      <c r="I79" s="135"/>
      <c r="J79" s="135"/>
      <c r="K79" s="102"/>
      <c r="L79" s="105" t="str">
        <f>IF(OR(ISBLANK(Term4_Early_Dismissal_2[[#This Row],[Start]]),ISBLANK(Term4_Early_Dismissal_2[[#This Row],[End]])),"",(Term4_Early_Dismissal_2[[#This Row],[End]]-Term4_Early_Dismissal_2[[#This Row],[Start]])*1440)</f>
        <v/>
      </c>
      <c r="M79" s="105" t="str">
        <f>IF(ISBLANK(Term4_Early_Dismissal_2[[#This Row],[Activity]]),"",IF(_xlfn.XLOOKUP(Term4_Early_Dismissal_2[[#This Row],[Activity]],Types_of_Activity[Type of Activity],Types_of_Activity[Classification])=1,Term4_Early_Dismissal_2[[#This Row],[Elapsed]],0))</f>
        <v/>
      </c>
      <c r="N79" s="105" t="str">
        <f>IF(ISBLANK(Term4_Early_Dismissal_2[[#This Row],[Activity]]),"",IF(_xlfn.XLOOKUP(Term4_Early_Dismissal_2[[#This Row],[Activity]],Types_of_Activity[Type of Activity],Types_of_Activity[Classification])=2,Term4_Early_Dismissal_2[[#This Row],[Elapsed]],0))</f>
        <v/>
      </c>
      <c r="O79"/>
      <c r="P79" s="135"/>
      <c r="Q79" s="135"/>
      <c r="R79" s="102"/>
      <c r="S79" s="105" t="str">
        <f>IF(OR(ISBLANK(Term4_Early_Dismissal_3[[#This Row],[Start]]),ISBLANK(Term4_Early_Dismissal_3[[#This Row],[End]])),"",(Term4_Early_Dismissal_3[[#This Row],[End]]-Term4_Early_Dismissal_3[[#This Row],[Start]])*1440)</f>
        <v/>
      </c>
      <c r="T79" s="105" t="str">
        <f>IF(ISBLANK(Term4_Early_Dismissal_3[[#This Row],[Activity]]),"",IF(_xlfn.XLOOKUP(Term4_Early_Dismissal_3[[#This Row],[Activity]],Types_of_Activity[Type of Activity],Types_of_Activity[Classification])=1,Term4_Early_Dismissal_3[[#This Row],[Elapsed]],0))</f>
        <v/>
      </c>
      <c r="U79" s="105" t="str">
        <f>IF(ISBLANK(Term4_Early_Dismissal_3[[#This Row],[Activity]]),"",IF(_xlfn.XLOOKUP(Term4_Early_Dismissal_3[[#This Row],[Activity]],Types_of_Activity[Type of Activity],Types_of_Activity[Classification])=2,Term4_Early_Dismissal_3[[#This Row],[Elapsed]],0))</f>
        <v/>
      </c>
      <c r="W79" s="135"/>
      <c r="X79" s="135"/>
      <c r="Y79" s="102"/>
      <c r="Z79" s="105" t="str">
        <f>IF(OR(ISBLANK(Term4_Early_Dismissal_4[[#This Row],[Start]]),ISBLANK(Term4_Early_Dismissal_4[[#This Row],[End]])),"",(Term4_Early_Dismissal_4[[#This Row],[End]]-Term4_Early_Dismissal_4[[#This Row],[Start]])*1440)</f>
        <v/>
      </c>
      <c r="AA79" s="105" t="str">
        <f>IF(ISBLANK(Term4_Early_Dismissal_4[[#This Row],[Activity]]),"",IF(_xlfn.XLOOKUP(Term4_Early_Dismissal_4[[#This Row],[Activity]],Types_of_Activity[Type of Activity],Types_of_Activity[Classification])=1,Term4_Early_Dismissal_4[[#This Row],[Elapsed]],0))</f>
        <v/>
      </c>
      <c r="AB79" s="105" t="str">
        <f>IF(ISBLANK(Term4_Early_Dismissal_4[[#This Row],[Activity]]),"",IF(_xlfn.XLOOKUP(Term4_Early_Dismissal_4[[#This Row],[Activity]],Types_of_Activity[Type of Activity],Types_of_Activity[Classification])=2,Term4_Early_Dismissal_4[[#This Row],[Elapsed]],0))</f>
        <v/>
      </c>
      <c r="AD79" s="135"/>
      <c r="AE79" s="135"/>
      <c r="AF79" s="102"/>
      <c r="AG79" s="105" t="str">
        <f>IF(OR(ISBLANK(Term4_Early_Dismissal_5[[#This Row],[Start]]),ISBLANK(Term4_Early_Dismissal_5[[#This Row],[End]])),"",(Term4_Early_Dismissal_5[[#This Row],[End]]-Term4_Early_Dismissal_5[[#This Row],[Start]])*1440)</f>
        <v/>
      </c>
      <c r="AH79" s="105" t="str">
        <f>IF(ISBLANK(Term4_Early_Dismissal_5[[#This Row],[Activity]]),"",IF(_xlfn.XLOOKUP(Term4_Early_Dismissal_5[[#This Row],[Activity]],Types_of_Activity[Type of Activity],Types_of_Activity[Classification])=1,Term4_Early_Dismissal_5[[#This Row],[Elapsed]],0))</f>
        <v/>
      </c>
      <c r="AI79" s="105" t="str">
        <f>IF(ISBLANK(Term4_Early_Dismissal_5[[#This Row],[Activity]]),"",IF(_xlfn.XLOOKUP(Term4_Early_Dismissal_5[[#This Row],[Activity]],Types_of_Activity[Type of Activity],Types_of_Activity[Classification])=2,Term4_Early_Dismissal_5[[#This Row],[Elapsed]],0))</f>
        <v/>
      </c>
      <c r="AK79" s="135"/>
      <c r="AL79" s="135"/>
      <c r="AM79" s="102"/>
      <c r="AN79" s="105" t="str">
        <f>IF(OR(ISBLANK(Term4_Early_Dismissal_6[[#This Row],[Start]]),ISBLANK(Term4_Early_Dismissal_6[[#This Row],[End]])),"",(Term4_Early_Dismissal_6[[#This Row],[End]]-Term4_Early_Dismissal_6[[#This Row],[Start]])*1440)</f>
        <v/>
      </c>
      <c r="AO79" s="105" t="str">
        <f>IF(ISBLANK(Term4_Early_Dismissal_6[[#This Row],[Activity]]),"",IF(_xlfn.XLOOKUP(Term4_Early_Dismissal_6[[#This Row],[Activity]],Types_of_Activity[Type of Activity],Types_of_Activity[Classification])=1,Term4_Early_Dismissal_6[[#This Row],[Elapsed]],0))</f>
        <v/>
      </c>
      <c r="AP79" s="105" t="str">
        <f>IF(ISBLANK(Term4_Early_Dismissal_6[[#This Row],[Activity]]),"",IF(_xlfn.XLOOKUP(Term4_Early_Dismissal_6[[#This Row],[Activity]],Types_of_Activity[Type of Activity],Types_of_Activity[Classification])=2,Term4_Early_Dismissal_6[[#This Row],[Elapsed]],0))</f>
        <v/>
      </c>
    </row>
    <row r="80" spans="2:42" x14ac:dyDescent="0.3">
      <c r="B80" s="135"/>
      <c r="C80" s="135"/>
      <c r="D80" s="102"/>
      <c r="E80" s="105" t="str">
        <f>IF(OR(ISBLANK(Term4_Early_Dismissal_1[[#This Row],[Start]]),ISBLANK(Term4_Early_Dismissal_1[[#This Row],[End]])),"",(Term4_Early_Dismissal_1[[#This Row],[End]]-Term4_Early_Dismissal_1[[#This Row],[Start]])*1440)</f>
        <v/>
      </c>
      <c r="F80" s="105" t="str">
        <f>IF(ISBLANK(Term4_Early_Dismissal_1[[#This Row],[Activity]]),"",IF(_xlfn.XLOOKUP(Term4_Early_Dismissal_1[[#This Row],[Activity]],Types_of_Activity[Type of Activity],Types_of_Activity[Classification])=1,Term4_Early_Dismissal_1[[#This Row],[Elapsed]],0))</f>
        <v/>
      </c>
      <c r="G80" s="105" t="str">
        <f>IF(ISBLANK(Term4_Early_Dismissal_1[[#This Row],[Activity]]),"",IF(_xlfn.XLOOKUP(Term4_Early_Dismissal_1[[#This Row],[Activity]],Types_of_Activity[Type of Activity],Types_of_Activity[Classification])=2,Term4_Early_Dismissal_1[[#This Row],[Elapsed]],0))</f>
        <v/>
      </c>
      <c r="H80"/>
      <c r="I80" s="135"/>
      <c r="J80" s="135"/>
      <c r="K80" s="102"/>
      <c r="L80" s="105" t="str">
        <f>IF(OR(ISBLANK(Term4_Early_Dismissal_2[[#This Row],[Start]]),ISBLANK(Term4_Early_Dismissal_2[[#This Row],[End]])),"",(Term4_Early_Dismissal_2[[#This Row],[End]]-Term4_Early_Dismissal_2[[#This Row],[Start]])*1440)</f>
        <v/>
      </c>
      <c r="M80" s="105" t="str">
        <f>IF(ISBLANK(Term4_Early_Dismissal_2[[#This Row],[Activity]]),"",IF(_xlfn.XLOOKUP(Term4_Early_Dismissal_2[[#This Row],[Activity]],Types_of_Activity[Type of Activity],Types_of_Activity[Classification])=1,Term4_Early_Dismissal_2[[#This Row],[Elapsed]],0))</f>
        <v/>
      </c>
      <c r="N80" s="105" t="str">
        <f>IF(ISBLANK(Term4_Early_Dismissal_2[[#This Row],[Activity]]),"",IF(_xlfn.XLOOKUP(Term4_Early_Dismissal_2[[#This Row],[Activity]],Types_of_Activity[Type of Activity],Types_of_Activity[Classification])=2,Term4_Early_Dismissal_2[[#This Row],[Elapsed]],0))</f>
        <v/>
      </c>
      <c r="O80"/>
      <c r="P80" s="135"/>
      <c r="Q80" s="135"/>
      <c r="R80" s="102"/>
      <c r="S80" s="105" t="str">
        <f>IF(OR(ISBLANK(Term4_Early_Dismissal_3[[#This Row],[Start]]),ISBLANK(Term4_Early_Dismissal_3[[#This Row],[End]])),"",(Term4_Early_Dismissal_3[[#This Row],[End]]-Term4_Early_Dismissal_3[[#This Row],[Start]])*1440)</f>
        <v/>
      </c>
      <c r="T80" s="105" t="str">
        <f>IF(ISBLANK(Term4_Early_Dismissal_3[[#This Row],[Activity]]),"",IF(_xlfn.XLOOKUP(Term4_Early_Dismissal_3[[#This Row],[Activity]],Types_of_Activity[Type of Activity],Types_of_Activity[Classification])=1,Term4_Early_Dismissal_3[[#This Row],[Elapsed]],0))</f>
        <v/>
      </c>
      <c r="U80" s="105" t="str">
        <f>IF(ISBLANK(Term4_Early_Dismissal_3[[#This Row],[Activity]]),"",IF(_xlfn.XLOOKUP(Term4_Early_Dismissal_3[[#This Row],[Activity]],Types_of_Activity[Type of Activity],Types_of_Activity[Classification])=2,Term4_Early_Dismissal_3[[#This Row],[Elapsed]],0))</f>
        <v/>
      </c>
      <c r="W80" s="135"/>
      <c r="X80" s="135"/>
      <c r="Y80" s="102"/>
      <c r="Z80" s="105" t="str">
        <f>IF(OR(ISBLANK(Term4_Early_Dismissal_4[[#This Row],[Start]]),ISBLANK(Term4_Early_Dismissal_4[[#This Row],[End]])),"",(Term4_Early_Dismissal_4[[#This Row],[End]]-Term4_Early_Dismissal_4[[#This Row],[Start]])*1440)</f>
        <v/>
      </c>
      <c r="AA80" s="105" t="str">
        <f>IF(ISBLANK(Term4_Early_Dismissal_4[[#This Row],[Activity]]),"",IF(_xlfn.XLOOKUP(Term4_Early_Dismissal_4[[#This Row],[Activity]],Types_of_Activity[Type of Activity],Types_of_Activity[Classification])=1,Term4_Early_Dismissal_4[[#This Row],[Elapsed]],0))</f>
        <v/>
      </c>
      <c r="AB80" s="105" t="str">
        <f>IF(ISBLANK(Term4_Early_Dismissal_4[[#This Row],[Activity]]),"",IF(_xlfn.XLOOKUP(Term4_Early_Dismissal_4[[#This Row],[Activity]],Types_of_Activity[Type of Activity],Types_of_Activity[Classification])=2,Term4_Early_Dismissal_4[[#This Row],[Elapsed]],0))</f>
        <v/>
      </c>
      <c r="AD80" s="135"/>
      <c r="AE80" s="135"/>
      <c r="AF80" s="102"/>
      <c r="AG80" s="105" t="str">
        <f>IF(OR(ISBLANK(Term4_Early_Dismissal_5[[#This Row],[Start]]),ISBLANK(Term4_Early_Dismissal_5[[#This Row],[End]])),"",(Term4_Early_Dismissal_5[[#This Row],[End]]-Term4_Early_Dismissal_5[[#This Row],[Start]])*1440)</f>
        <v/>
      </c>
      <c r="AH80" s="105" t="str">
        <f>IF(ISBLANK(Term4_Early_Dismissal_5[[#This Row],[Activity]]),"",IF(_xlfn.XLOOKUP(Term4_Early_Dismissal_5[[#This Row],[Activity]],Types_of_Activity[Type of Activity],Types_of_Activity[Classification])=1,Term4_Early_Dismissal_5[[#This Row],[Elapsed]],0))</f>
        <v/>
      </c>
      <c r="AI80" s="105" t="str">
        <f>IF(ISBLANK(Term4_Early_Dismissal_5[[#This Row],[Activity]]),"",IF(_xlfn.XLOOKUP(Term4_Early_Dismissal_5[[#This Row],[Activity]],Types_of_Activity[Type of Activity],Types_of_Activity[Classification])=2,Term4_Early_Dismissal_5[[#This Row],[Elapsed]],0))</f>
        <v/>
      </c>
      <c r="AK80" s="135"/>
      <c r="AL80" s="135"/>
      <c r="AM80" s="102"/>
      <c r="AN80" s="105" t="str">
        <f>IF(OR(ISBLANK(Term4_Early_Dismissal_6[[#This Row],[Start]]),ISBLANK(Term4_Early_Dismissal_6[[#This Row],[End]])),"",(Term4_Early_Dismissal_6[[#This Row],[End]]-Term4_Early_Dismissal_6[[#This Row],[Start]])*1440)</f>
        <v/>
      </c>
      <c r="AO80" s="105" t="str">
        <f>IF(ISBLANK(Term4_Early_Dismissal_6[[#This Row],[Activity]]),"",IF(_xlfn.XLOOKUP(Term4_Early_Dismissal_6[[#This Row],[Activity]],Types_of_Activity[Type of Activity],Types_of_Activity[Classification])=1,Term4_Early_Dismissal_6[[#This Row],[Elapsed]],0))</f>
        <v/>
      </c>
      <c r="AP80" s="105" t="str">
        <f>IF(ISBLANK(Term4_Early_Dismissal_6[[#This Row],[Activity]]),"",IF(_xlfn.XLOOKUP(Term4_Early_Dismissal_6[[#This Row],[Activity]],Types_of_Activity[Type of Activity],Types_of_Activity[Classification])=2,Term4_Early_Dismissal_6[[#This Row],[Elapsed]],0))</f>
        <v/>
      </c>
    </row>
    <row r="81" spans="2:42" x14ac:dyDescent="0.3">
      <c r="B81" s="135"/>
      <c r="C81" s="135"/>
      <c r="D81" s="102"/>
      <c r="E81" s="105" t="str">
        <f>IF(OR(ISBLANK(Term4_Early_Dismissal_1[[#This Row],[Start]]),ISBLANK(Term4_Early_Dismissal_1[[#This Row],[End]])),"",(Term4_Early_Dismissal_1[[#This Row],[End]]-Term4_Early_Dismissal_1[[#This Row],[Start]])*1440)</f>
        <v/>
      </c>
      <c r="F81" s="105" t="str">
        <f>IF(ISBLANK(Term4_Early_Dismissal_1[[#This Row],[Activity]]),"",IF(_xlfn.XLOOKUP(Term4_Early_Dismissal_1[[#This Row],[Activity]],Types_of_Activity[Type of Activity],Types_of_Activity[Classification])=1,Term4_Early_Dismissal_1[[#This Row],[Elapsed]],0))</f>
        <v/>
      </c>
      <c r="G81" s="105" t="str">
        <f>IF(ISBLANK(Term4_Early_Dismissal_1[[#This Row],[Activity]]),"",IF(_xlfn.XLOOKUP(Term4_Early_Dismissal_1[[#This Row],[Activity]],Types_of_Activity[Type of Activity],Types_of_Activity[Classification])=2,Term4_Early_Dismissal_1[[#This Row],[Elapsed]],0))</f>
        <v/>
      </c>
      <c r="H81"/>
      <c r="I81" s="135"/>
      <c r="J81" s="135"/>
      <c r="K81" s="102"/>
      <c r="L81" s="105" t="str">
        <f>IF(OR(ISBLANK(Term4_Early_Dismissal_2[[#This Row],[Start]]),ISBLANK(Term4_Early_Dismissal_2[[#This Row],[End]])),"",(Term4_Early_Dismissal_2[[#This Row],[End]]-Term4_Early_Dismissal_2[[#This Row],[Start]])*1440)</f>
        <v/>
      </c>
      <c r="M81" s="105" t="str">
        <f>IF(ISBLANK(Term4_Early_Dismissal_2[[#This Row],[Activity]]),"",IF(_xlfn.XLOOKUP(Term4_Early_Dismissal_2[[#This Row],[Activity]],Types_of_Activity[Type of Activity],Types_of_Activity[Classification])=1,Term4_Early_Dismissal_2[[#This Row],[Elapsed]],0))</f>
        <v/>
      </c>
      <c r="N81" s="105" t="str">
        <f>IF(ISBLANK(Term4_Early_Dismissal_2[[#This Row],[Activity]]),"",IF(_xlfn.XLOOKUP(Term4_Early_Dismissal_2[[#This Row],[Activity]],Types_of_Activity[Type of Activity],Types_of_Activity[Classification])=2,Term4_Early_Dismissal_2[[#This Row],[Elapsed]],0))</f>
        <v/>
      </c>
      <c r="O81"/>
      <c r="P81" s="135"/>
      <c r="Q81" s="135"/>
      <c r="R81" s="102"/>
      <c r="S81" s="105" t="str">
        <f>IF(OR(ISBLANK(Term4_Early_Dismissal_3[[#This Row],[Start]]),ISBLANK(Term4_Early_Dismissal_3[[#This Row],[End]])),"",(Term4_Early_Dismissal_3[[#This Row],[End]]-Term4_Early_Dismissal_3[[#This Row],[Start]])*1440)</f>
        <v/>
      </c>
      <c r="T81" s="105" t="str">
        <f>IF(ISBLANK(Term4_Early_Dismissal_3[[#This Row],[Activity]]),"",IF(_xlfn.XLOOKUP(Term4_Early_Dismissal_3[[#This Row],[Activity]],Types_of_Activity[Type of Activity],Types_of_Activity[Classification])=1,Term4_Early_Dismissal_3[[#This Row],[Elapsed]],0))</f>
        <v/>
      </c>
      <c r="U81" s="105" t="str">
        <f>IF(ISBLANK(Term4_Early_Dismissal_3[[#This Row],[Activity]]),"",IF(_xlfn.XLOOKUP(Term4_Early_Dismissal_3[[#This Row],[Activity]],Types_of_Activity[Type of Activity],Types_of_Activity[Classification])=2,Term4_Early_Dismissal_3[[#This Row],[Elapsed]],0))</f>
        <v/>
      </c>
      <c r="W81" s="135"/>
      <c r="X81" s="135"/>
      <c r="Y81" s="102"/>
      <c r="Z81" s="105" t="str">
        <f>IF(OR(ISBLANK(Term4_Early_Dismissal_4[[#This Row],[Start]]),ISBLANK(Term4_Early_Dismissal_4[[#This Row],[End]])),"",(Term4_Early_Dismissal_4[[#This Row],[End]]-Term4_Early_Dismissal_4[[#This Row],[Start]])*1440)</f>
        <v/>
      </c>
      <c r="AA81" s="105" t="str">
        <f>IF(ISBLANK(Term4_Early_Dismissal_4[[#This Row],[Activity]]),"",IF(_xlfn.XLOOKUP(Term4_Early_Dismissal_4[[#This Row],[Activity]],Types_of_Activity[Type of Activity],Types_of_Activity[Classification])=1,Term4_Early_Dismissal_4[[#This Row],[Elapsed]],0))</f>
        <v/>
      </c>
      <c r="AB81" s="105" t="str">
        <f>IF(ISBLANK(Term4_Early_Dismissal_4[[#This Row],[Activity]]),"",IF(_xlfn.XLOOKUP(Term4_Early_Dismissal_4[[#This Row],[Activity]],Types_of_Activity[Type of Activity],Types_of_Activity[Classification])=2,Term4_Early_Dismissal_4[[#This Row],[Elapsed]],0))</f>
        <v/>
      </c>
      <c r="AD81" s="135"/>
      <c r="AE81" s="135"/>
      <c r="AF81" s="102"/>
      <c r="AG81" s="105" t="str">
        <f>IF(OR(ISBLANK(Term4_Early_Dismissal_5[[#This Row],[Start]]),ISBLANK(Term4_Early_Dismissal_5[[#This Row],[End]])),"",(Term4_Early_Dismissal_5[[#This Row],[End]]-Term4_Early_Dismissal_5[[#This Row],[Start]])*1440)</f>
        <v/>
      </c>
      <c r="AH81" s="105" t="str">
        <f>IF(ISBLANK(Term4_Early_Dismissal_5[[#This Row],[Activity]]),"",IF(_xlfn.XLOOKUP(Term4_Early_Dismissal_5[[#This Row],[Activity]],Types_of_Activity[Type of Activity],Types_of_Activity[Classification])=1,Term4_Early_Dismissal_5[[#This Row],[Elapsed]],0))</f>
        <v/>
      </c>
      <c r="AI81" s="105" t="str">
        <f>IF(ISBLANK(Term4_Early_Dismissal_5[[#This Row],[Activity]]),"",IF(_xlfn.XLOOKUP(Term4_Early_Dismissal_5[[#This Row],[Activity]],Types_of_Activity[Type of Activity],Types_of_Activity[Classification])=2,Term4_Early_Dismissal_5[[#This Row],[Elapsed]],0))</f>
        <v/>
      </c>
      <c r="AK81" s="135"/>
      <c r="AL81" s="135"/>
      <c r="AM81" s="102"/>
      <c r="AN81" s="105" t="str">
        <f>IF(OR(ISBLANK(Term4_Early_Dismissal_6[[#This Row],[Start]]),ISBLANK(Term4_Early_Dismissal_6[[#This Row],[End]])),"",(Term4_Early_Dismissal_6[[#This Row],[End]]-Term4_Early_Dismissal_6[[#This Row],[Start]])*1440)</f>
        <v/>
      </c>
      <c r="AO81" s="105" t="str">
        <f>IF(ISBLANK(Term4_Early_Dismissal_6[[#This Row],[Activity]]),"",IF(_xlfn.XLOOKUP(Term4_Early_Dismissal_6[[#This Row],[Activity]],Types_of_Activity[Type of Activity],Types_of_Activity[Classification])=1,Term4_Early_Dismissal_6[[#This Row],[Elapsed]],0))</f>
        <v/>
      </c>
      <c r="AP81" s="105" t="str">
        <f>IF(ISBLANK(Term4_Early_Dismissal_6[[#This Row],[Activity]]),"",IF(_xlfn.XLOOKUP(Term4_Early_Dismissal_6[[#This Row],[Activity]],Types_of_Activity[Type of Activity],Types_of_Activity[Classification])=2,Term4_Early_Dismissal_6[[#This Row],[Elapsed]],0))</f>
        <v/>
      </c>
    </row>
    <row r="82" spans="2:42" x14ac:dyDescent="0.3">
      <c r="B82" s="135"/>
      <c r="C82" s="135"/>
      <c r="D82" s="102"/>
      <c r="E82" s="105" t="str">
        <f>IF(OR(ISBLANK(Term4_Early_Dismissal_1[[#This Row],[Start]]),ISBLANK(Term4_Early_Dismissal_1[[#This Row],[End]])),"",(Term4_Early_Dismissal_1[[#This Row],[End]]-Term4_Early_Dismissal_1[[#This Row],[Start]])*1440)</f>
        <v/>
      </c>
      <c r="F82" s="105" t="str">
        <f>IF(ISBLANK(Term4_Early_Dismissal_1[[#This Row],[Activity]]),"",IF(_xlfn.XLOOKUP(Term4_Early_Dismissal_1[[#This Row],[Activity]],Types_of_Activity[Type of Activity],Types_of_Activity[Classification])=1,Term4_Early_Dismissal_1[[#This Row],[Elapsed]],0))</f>
        <v/>
      </c>
      <c r="G82" s="105" t="str">
        <f>IF(ISBLANK(Term4_Early_Dismissal_1[[#This Row],[Activity]]),"",IF(_xlfn.XLOOKUP(Term4_Early_Dismissal_1[[#This Row],[Activity]],Types_of_Activity[Type of Activity],Types_of_Activity[Classification])=2,Term4_Early_Dismissal_1[[#This Row],[Elapsed]],0))</f>
        <v/>
      </c>
      <c r="H82"/>
      <c r="I82" s="135"/>
      <c r="J82" s="135"/>
      <c r="K82" s="102"/>
      <c r="L82" s="105" t="str">
        <f>IF(OR(ISBLANK(Term4_Early_Dismissal_2[[#This Row],[Start]]),ISBLANK(Term4_Early_Dismissal_2[[#This Row],[End]])),"",(Term4_Early_Dismissal_2[[#This Row],[End]]-Term4_Early_Dismissal_2[[#This Row],[Start]])*1440)</f>
        <v/>
      </c>
      <c r="M82" s="105" t="str">
        <f>IF(ISBLANK(Term4_Early_Dismissal_2[[#This Row],[Activity]]),"",IF(_xlfn.XLOOKUP(Term4_Early_Dismissal_2[[#This Row],[Activity]],Types_of_Activity[Type of Activity],Types_of_Activity[Classification])=1,Term4_Early_Dismissal_2[[#This Row],[Elapsed]],0))</f>
        <v/>
      </c>
      <c r="N82" s="105" t="str">
        <f>IF(ISBLANK(Term4_Early_Dismissal_2[[#This Row],[Activity]]),"",IF(_xlfn.XLOOKUP(Term4_Early_Dismissal_2[[#This Row],[Activity]],Types_of_Activity[Type of Activity],Types_of_Activity[Classification])=2,Term4_Early_Dismissal_2[[#This Row],[Elapsed]],0))</f>
        <v/>
      </c>
      <c r="O82"/>
      <c r="P82" s="135"/>
      <c r="Q82" s="135"/>
      <c r="R82" s="102"/>
      <c r="S82" s="105" t="str">
        <f>IF(OR(ISBLANK(Term4_Early_Dismissal_3[[#This Row],[Start]]),ISBLANK(Term4_Early_Dismissal_3[[#This Row],[End]])),"",(Term4_Early_Dismissal_3[[#This Row],[End]]-Term4_Early_Dismissal_3[[#This Row],[Start]])*1440)</f>
        <v/>
      </c>
      <c r="T82" s="105" t="str">
        <f>IF(ISBLANK(Term4_Early_Dismissal_3[[#This Row],[Activity]]),"",IF(_xlfn.XLOOKUP(Term4_Early_Dismissal_3[[#This Row],[Activity]],Types_of_Activity[Type of Activity],Types_of_Activity[Classification])=1,Term4_Early_Dismissal_3[[#This Row],[Elapsed]],0))</f>
        <v/>
      </c>
      <c r="U82" s="105" t="str">
        <f>IF(ISBLANK(Term4_Early_Dismissal_3[[#This Row],[Activity]]),"",IF(_xlfn.XLOOKUP(Term4_Early_Dismissal_3[[#This Row],[Activity]],Types_of_Activity[Type of Activity],Types_of_Activity[Classification])=2,Term4_Early_Dismissal_3[[#This Row],[Elapsed]],0))</f>
        <v/>
      </c>
      <c r="W82" s="135"/>
      <c r="X82" s="135"/>
      <c r="Y82" s="102"/>
      <c r="Z82" s="105" t="str">
        <f>IF(OR(ISBLANK(Term4_Early_Dismissal_4[[#This Row],[Start]]),ISBLANK(Term4_Early_Dismissal_4[[#This Row],[End]])),"",(Term4_Early_Dismissal_4[[#This Row],[End]]-Term4_Early_Dismissal_4[[#This Row],[Start]])*1440)</f>
        <v/>
      </c>
      <c r="AA82" s="105" t="str">
        <f>IF(ISBLANK(Term4_Early_Dismissal_4[[#This Row],[Activity]]),"",IF(_xlfn.XLOOKUP(Term4_Early_Dismissal_4[[#This Row],[Activity]],Types_of_Activity[Type of Activity],Types_of_Activity[Classification])=1,Term4_Early_Dismissal_4[[#This Row],[Elapsed]],0))</f>
        <v/>
      </c>
      <c r="AB82" s="105" t="str">
        <f>IF(ISBLANK(Term4_Early_Dismissal_4[[#This Row],[Activity]]),"",IF(_xlfn.XLOOKUP(Term4_Early_Dismissal_4[[#This Row],[Activity]],Types_of_Activity[Type of Activity],Types_of_Activity[Classification])=2,Term4_Early_Dismissal_4[[#This Row],[Elapsed]],0))</f>
        <v/>
      </c>
      <c r="AD82" s="135"/>
      <c r="AE82" s="135"/>
      <c r="AF82" s="102"/>
      <c r="AG82" s="105" t="str">
        <f>IF(OR(ISBLANK(Term4_Early_Dismissal_5[[#This Row],[Start]]),ISBLANK(Term4_Early_Dismissal_5[[#This Row],[End]])),"",(Term4_Early_Dismissal_5[[#This Row],[End]]-Term4_Early_Dismissal_5[[#This Row],[Start]])*1440)</f>
        <v/>
      </c>
      <c r="AH82" s="105" t="str">
        <f>IF(ISBLANK(Term4_Early_Dismissal_5[[#This Row],[Activity]]),"",IF(_xlfn.XLOOKUP(Term4_Early_Dismissal_5[[#This Row],[Activity]],Types_of_Activity[Type of Activity],Types_of_Activity[Classification])=1,Term4_Early_Dismissal_5[[#This Row],[Elapsed]],0))</f>
        <v/>
      </c>
      <c r="AI82" s="105" t="str">
        <f>IF(ISBLANK(Term4_Early_Dismissal_5[[#This Row],[Activity]]),"",IF(_xlfn.XLOOKUP(Term4_Early_Dismissal_5[[#This Row],[Activity]],Types_of_Activity[Type of Activity],Types_of_Activity[Classification])=2,Term4_Early_Dismissal_5[[#This Row],[Elapsed]],0))</f>
        <v/>
      </c>
      <c r="AK82" s="135"/>
      <c r="AL82" s="135"/>
      <c r="AM82" s="102"/>
      <c r="AN82" s="105" t="str">
        <f>IF(OR(ISBLANK(Term4_Early_Dismissal_6[[#This Row],[Start]]),ISBLANK(Term4_Early_Dismissal_6[[#This Row],[End]])),"",(Term4_Early_Dismissal_6[[#This Row],[End]]-Term4_Early_Dismissal_6[[#This Row],[Start]])*1440)</f>
        <v/>
      </c>
      <c r="AO82" s="105" t="str">
        <f>IF(ISBLANK(Term4_Early_Dismissal_6[[#This Row],[Activity]]),"",IF(_xlfn.XLOOKUP(Term4_Early_Dismissal_6[[#This Row],[Activity]],Types_of_Activity[Type of Activity],Types_of_Activity[Classification])=1,Term4_Early_Dismissal_6[[#This Row],[Elapsed]],0))</f>
        <v/>
      </c>
      <c r="AP82" s="105" t="str">
        <f>IF(ISBLANK(Term4_Early_Dismissal_6[[#This Row],[Activity]]),"",IF(_xlfn.XLOOKUP(Term4_Early_Dismissal_6[[#This Row],[Activity]],Types_of_Activity[Type of Activity],Types_of_Activity[Classification])=2,Term4_Early_Dismissal_6[[#This Row],[Elapsed]],0))</f>
        <v/>
      </c>
    </row>
    <row r="83" spans="2:42" x14ac:dyDescent="0.3">
      <c r="B83" s="135"/>
      <c r="C83" s="135"/>
      <c r="D83" s="102"/>
      <c r="E83" s="105" t="str">
        <f>IF(OR(ISBLANK(Term4_Early_Dismissal_1[[#This Row],[Start]]),ISBLANK(Term4_Early_Dismissal_1[[#This Row],[End]])),"",(Term4_Early_Dismissal_1[[#This Row],[End]]-Term4_Early_Dismissal_1[[#This Row],[Start]])*1440)</f>
        <v/>
      </c>
      <c r="F83" s="105" t="str">
        <f>IF(ISBLANK(Term4_Early_Dismissal_1[[#This Row],[Activity]]),"",IF(_xlfn.XLOOKUP(Term4_Early_Dismissal_1[[#This Row],[Activity]],Types_of_Activity[Type of Activity],Types_of_Activity[Classification])=1,Term4_Early_Dismissal_1[[#This Row],[Elapsed]],0))</f>
        <v/>
      </c>
      <c r="G83" s="105" t="str">
        <f>IF(ISBLANK(Term4_Early_Dismissal_1[[#This Row],[Activity]]),"",IF(_xlfn.XLOOKUP(Term4_Early_Dismissal_1[[#This Row],[Activity]],Types_of_Activity[Type of Activity],Types_of_Activity[Classification])=2,Term4_Early_Dismissal_1[[#This Row],[Elapsed]],0))</f>
        <v/>
      </c>
      <c r="H83"/>
      <c r="I83" s="135"/>
      <c r="J83" s="135"/>
      <c r="K83" s="102"/>
      <c r="L83" s="105" t="str">
        <f>IF(OR(ISBLANK(Term4_Early_Dismissal_2[[#This Row],[Start]]),ISBLANK(Term4_Early_Dismissal_2[[#This Row],[End]])),"",(Term4_Early_Dismissal_2[[#This Row],[End]]-Term4_Early_Dismissal_2[[#This Row],[Start]])*1440)</f>
        <v/>
      </c>
      <c r="M83" s="105" t="str">
        <f>IF(ISBLANK(Term4_Early_Dismissal_2[[#This Row],[Activity]]),"",IF(_xlfn.XLOOKUP(Term4_Early_Dismissal_2[[#This Row],[Activity]],Types_of_Activity[Type of Activity],Types_of_Activity[Classification])=1,Term4_Early_Dismissal_2[[#This Row],[Elapsed]],0))</f>
        <v/>
      </c>
      <c r="N83" s="105" t="str">
        <f>IF(ISBLANK(Term4_Early_Dismissal_2[[#This Row],[Activity]]),"",IF(_xlfn.XLOOKUP(Term4_Early_Dismissal_2[[#This Row],[Activity]],Types_of_Activity[Type of Activity],Types_of_Activity[Classification])=2,Term4_Early_Dismissal_2[[#This Row],[Elapsed]],0))</f>
        <v/>
      </c>
      <c r="O83"/>
      <c r="P83" s="135"/>
      <c r="Q83" s="135"/>
      <c r="R83" s="102"/>
      <c r="S83" s="105" t="str">
        <f>IF(OR(ISBLANK(Term4_Early_Dismissal_3[[#This Row],[Start]]),ISBLANK(Term4_Early_Dismissal_3[[#This Row],[End]])),"",(Term4_Early_Dismissal_3[[#This Row],[End]]-Term4_Early_Dismissal_3[[#This Row],[Start]])*1440)</f>
        <v/>
      </c>
      <c r="T83" s="105" t="str">
        <f>IF(ISBLANK(Term4_Early_Dismissal_3[[#This Row],[Activity]]),"",IF(_xlfn.XLOOKUP(Term4_Early_Dismissal_3[[#This Row],[Activity]],Types_of_Activity[Type of Activity],Types_of_Activity[Classification])=1,Term4_Early_Dismissal_3[[#This Row],[Elapsed]],0))</f>
        <v/>
      </c>
      <c r="U83" s="105" t="str">
        <f>IF(ISBLANK(Term4_Early_Dismissal_3[[#This Row],[Activity]]),"",IF(_xlfn.XLOOKUP(Term4_Early_Dismissal_3[[#This Row],[Activity]],Types_of_Activity[Type of Activity],Types_of_Activity[Classification])=2,Term4_Early_Dismissal_3[[#This Row],[Elapsed]],0))</f>
        <v/>
      </c>
      <c r="W83" s="135"/>
      <c r="X83" s="135"/>
      <c r="Y83" s="102"/>
      <c r="Z83" s="105" t="str">
        <f>IF(OR(ISBLANK(Term4_Early_Dismissal_4[[#This Row],[Start]]),ISBLANK(Term4_Early_Dismissal_4[[#This Row],[End]])),"",(Term4_Early_Dismissal_4[[#This Row],[End]]-Term4_Early_Dismissal_4[[#This Row],[Start]])*1440)</f>
        <v/>
      </c>
      <c r="AA83" s="105" t="str">
        <f>IF(ISBLANK(Term4_Early_Dismissal_4[[#This Row],[Activity]]),"",IF(_xlfn.XLOOKUP(Term4_Early_Dismissal_4[[#This Row],[Activity]],Types_of_Activity[Type of Activity],Types_of_Activity[Classification])=1,Term4_Early_Dismissal_4[[#This Row],[Elapsed]],0))</f>
        <v/>
      </c>
      <c r="AB83" s="105" t="str">
        <f>IF(ISBLANK(Term4_Early_Dismissal_4[[#This Row],[Activity]]),"",IF(_xlfn.XLOOKUP(Term4_Early_Dismissal_4[[#This Row],[Activity]],Types_of_Activity[Type of Activity],Types_of_Activity[Classification])=2,Term4_Early_Dismissal_4[[#This Row],[Elapsed]],0))</f>
        <v/>
      </c>
      <c r="AD83" s="135"/>
      <c r="AE83" s="135"/>
      <c r="AF83" s="102"/>
      <c r="AG83" s="105" t="str">
        <f>IF(OR(ISBLANK(Term4_Early_Dismissal_5[[#This Row],[Start]]),ISBLANK(Term4_Early_Dismissal_5[[#This Row],[End]])),"",(Term4_Early_Dismissal_5[[#This Row],[End]]-Term4_Early_Dismissal_5[[#This Row],[Start]])*1440)</f>
        <v/>
      </c>
      <c r="AH83" s="105" t="str">
        <f>IF(ISBLANK(Term4_Early_Dismissal_5[[#This Row],[Activity]]),"",IF(_xlfn.XLOOKUP(Term4_Early_Dismissal_5[[#This Row],[Activity]],Types_of_Activity[Type of Activity],Types_of_Activity[Classification])=1,Term4_Early_Dismissal_5[[#This Row],[Elapsed]],0))</f>
        <v/>
      </c>
      <c r="AI83" s="105" t="str">
        <f>IF(ISBLANK(Term4_Early_Dismissal_5[[#This Row],[Activity]]),"",IF(_xlfn.XLOOKUP(Term4_Early_Dismissal_5[[#This Row],[Activity]],Types_of_Activity[Type of Activity],Types_of_Activity[Classification])=2,Term4_Early_Dismissal_5[[#This Row],[Elapsed]],0))</f>
        <v/>
      </c>
      <c r="AK83" s="135"/>
      <c r="AL83" s="135"/>
      <c r="AM83" s="102"/>
      <c r="AN83" s="105" t="str">
        <f>IF(OR(ISBLANK(Term4_Early_Dismissal_6[[#This Row],[Start]]),ISBLANK(Term4_Early_Dismissal_6[[#This Row],[End]])),"",(Term4_Early_Dismissal_6[[#This Row],[End]]-Term4_Early_Dismissal_6[[#This Row],[Start]])*1440)</f>
        <v/>
      </c>
      <c r="AO83" s="105" t="str">
        <f>IF(ISBLANK(Term4_Early_Dismissal_6[[#This Row],[Activity]]),"",IF(_xlfn.XLOOKUP(Term4_Early_Dismissal_6[[#This Row],[Activity]],Types_of_Activity[Type of Activity],Types_of_Activity[Classification])=1,Term4_Early_Dismissal_6[[#This Row],[Elapsed]],0))</f>
        <v/>
      </c>
      <c r="AP83" s="105" t="str">
        <f>IF(ISBLANK(Term4_Early_Dismissal_6[[#This Row],[Activity]]),"",IF(_xlfn.XLOOKUP(Term4_Early_Dismissal_6[[#This Row],[Activity]],Types_of_Activity[Type of Activity],Types_of_Activity[Classification])=2,Term4_Early_Dismissal_6[[#This Row],[Elapsed]],0))</f>
        <v/>
      </c>
    </row>
    <row r="84" spans="2:42" x14ac:dyDescent="0.3">
      <c r="B84" s="135"/>
      <c r="C84" s="135"/>
      <c r="D84" s="102"/>
      <c r="E84" s="105" t="str">
        <f>IF(OR(ISBLANK(Term4_Early_Dismissal_1[[#This Row],[Start]]),ISBLANK(Term4_Early_Dismissal_1[[#This Row],[End]])),"",(Term4_Early_Dismissal_1[[#This Row],[End]]-Term4_Early_Dismissal_1[[#This Row],[Start]])*1440)</f>
        <v/>
      </c>
      <c r="F84" s="105" t="str">
        <f>IF(ISBLANK(Term4_Early_Dismissal_1[[#This Row],[Activity]]),"",IF(_xlfn.XLOOKUP(Term4_Early_Dismissal_1[[#This Row],[Activity]],Types_of_Activity[Type of Activity],Types_of_Activity[Classification])=1,Term4_Early_Dismissal_1[[#This Row],[Elapsed]],0))</f>
        <v/>
      </c>
      <c r="G84" s="105" t="str">
        <f>IF(ISBLANK(Term4_Early_Dismissal_1[[#This Row],[Activity]]),"",IF(_xlfn.XLOOKUP(Term4_Early_Dismissal_1[[#This Row],[Activity]],Types_of_Activity[Type of Activity],Types_of_Activity[Classification])=2,Term4_Early_Dismissal_1[[#This Row],[Elapsed]],0))</f>
        <v/>
      </c>
      <c r="H84"/>
      <c r="I84" s="135"/>
      <c r="J84" s="135"/>
      <c r="K84" s="102"/>
      <c r="L84" s="105" t="str">
        <f>IF(OR(ISBLANK(Term4_Early_Dismissal_2[[#This Row],[Start]]),ISBLANK(Term4_Early_Dismissal_2[[#This Row],[End]])),"",(Term4_Early_Dismissal_2[[#This Row],[End]]-Term4_Early_Dismissal_2[[#This Row],[Start]])*1440)</f>
        <v/>
      </c>
      <c r="M84" s="105" t="str">
        <f>IF(ISBLANK(Term4_Early_Dismissal_2[[#This Row],[Activity]]),"",IF(_xlfn.XLOOKUP(Term4_Early_Dismissal_2[[#This Row],[Activity]],Types_of_Activity[Type of Activity],Types_of_Activity[Classification])=1,Term4_Early_Dismissal_2[[#This Row],[Elapsed]],0))</f>
        <v/>
      </c>
      <c r="N84" s="105" t="str">
        <f>IF(ISBLANK(Term4_Early_Dismissal_2[[#This Row],[Activity]]),"",IF(_xlfn.XLOOKUP(Term4_Early_Dismissal_2[[#This Row],[Activity]],Types_of_Activity[Type of Activity],Types_of_Activity[Classification])=2,Term4_Early_Dismissal_2[[#This Row],[Elapsed]],0))</f>
        <v/>
      </c>
      <c r="O84"/>
      <c r="P84" s="135"/>
      <c r="Q84" s="135"/>
      <c r="R84" s="102"/>
      <c r="S84" s="105" t="str">
        <f>IF(OR(ISBLANK(Term4_Early_Dismissal_3[[#This Row],[Start]]),ISBLANK(Term4_Early_Dismissal_3[[#This Row],[End]])),"",(Term4_Early_Dismissal_3[[#This Row],[End]]-Term4_Early_Dismissal_3[[#This Row],[Start]])*1440)</f>
        <v/>
      </c>
      <c r="T84" s="105" t="str">
        <f>IF(ISBLANK(Term4_Early_Dismissal_3[[#This Row],[Activity]]),"",IF(_xlfn.XLOOKUP(Term4_Early_Dismissal_3[[#This Row],[Activity]],Types_of_Activity[Type of Activity],Types_of_Activity[Classification])=1,Term4_Early_Dismissal_3[[#This Row],[Elapsed]],0))</f>
        <v/>
      </c>
      <c r="U84" s="105" t="str">
        <f>IF(ISBLANK(Term4_Early_Dismissal_3[[#This Row],[Activity]]),"",IF(_xlfn.XLOOKUP(Term4_Early_Dismissal_3[[#This Row],[Activity]],Types_of_Activity[Type of Activity],Types_of_Activity[Classification])=2,Term4_Early_Dismissal_3[[#This Row],[Elapsed]],0))</f>
        <v/>
      </c>
      <c r="W84" s="135"/>
      <c r="X84" s="135"/>
      <c r="Y84" s="102"/>
      <c r="Z84" s="105" t="str">
        <f>IF(OR(ISBLANK(Term4_Early_Dismissal_4[[#This Row],[Start]]),ISBLANK(Term4_Early_Dismissal_4[[#This Row],[End]])),"",(Term4_Early_Dismissal_4[[#This Row],[End]]-Term4_Early_Dismissal_4[[#This Row],[Start]])*1440)</f>
        <v/>
      </c>
      <c r="AA84" s="105" t="str">
        <f>IF(ISBLANK(Term4_Early_Dismissal_4[[#This Row],[Activity]]),"",IF(_xlfn.XLOOKUP(Term4_Early_Dismissal_4[[#This Row],[Activity]],Types_of_Activity[Type of Activity],Types_of_Activity[Classification])=1,Term4_Early_Dismissal_4[[#This Row],[Elapsed]],0))</f>
        <v/>
      </c>
      <c r="AB84" s="105" t="str">
        <f>IF(ISBLANK(Term4_Early_Dismissal_4[[#This Row],[Activity]]),"",IF(_xlfn.XLOOKUP(Term4_Early_Dismissal_4[[#This Row],[Activity]],Types_of_Activity[Type of Activity],Types_of_Activity[Classification])=2,Term4_Early_Dismissal_4[[#This Row],[Elapsed]],0))</f>
        <v/>
      </c>
      <c r="AD84" s="135"/>
      <c r="AE84" s="135"/>
      <c r="AF84" s="102"/>
      <c r="AG84" s="105" t="str">
        <f>IF(OR(ISBLANK(Term4_Early_Dismissal_5[[#This Row],[Start]]),ISBLANK(Term4_Early_Dismissal_5[[#This Row],[End]])),"",(Term4_Early_Dismissal_5[[#This Row],[End]]-Term4_Early_Dismissal_5[[#This Row],[Start]])*1440)</f>
        <v/>
      </c>
      <c r="AH84" s="105" t="str">
        <f>IF(ISBLANK(Term4_Early_Dismissal_5[[#This Row],[Activity]]),"",IF(_xlfn.XLOOKUP(Term4_Early_Dismissal_5[[#This Row],[Activity]],Types_of_Activity[Type of Activity],Types_of_Activity[Classification])=1,Term4_Early_Dismissal_5[[#This Row],[Elapsed]],0))</f>
        <v/>
      </c>
      <c r="AI84" s="105" t="str">
        <f>IF(ISBLANK(Term4_Early_Dismissal_5[[#This Row],[Activity]]),"",IF(_xlfn.XLOOKUP(Term4_Early_Dismissal_5[[#This Row],[Activity]],Types_of_Activity[Type of Activity],Types_of_Activity[Classification])=2,Term4_Early_Dismissal_5[[#This Row],[Elapsed]],0))</f>
        <v/>
      </c>
      <c r="AK84" s="135"/>
      <c r="AL84" s="135"/>
      <c r="AM84" s="102"/>
      <c r="AN84" s="105" t="str">
        <f>IF(OR(ISBLANK(Term4_Early_Dismissal_6[[#This Row],[Start]]),ISBLANK(Term4_Early_Dismissal_6[[#This Row],[End]])),"",(Term4_Early_Dismissal_6[[#This Row],[End]]-Term4_Early_Dismissal_6[[#This Row],[Start]])*1440)</f>
        <v/>
      </c>
      <c r="AO84" s="105" t="str">
        <f>IF(ISBLANK(Term4_Early_Dismissal_6[[#This Row],[Activity]]),"",IF(_xlfn.XLOOKUP(Term4_Early_Dismissal_6[[#This Row],[Activity]],Types_of_Activity[Type of Activity],Types_of_Activity[Classification])=1,Term4_Early_Dismissal_6[[#This Row],[Elapsed]],0))</f>
        <v/>
      </c>
      <c r="AP84" s="105" t="str">
        <f>IF(ISBLANK(Term4_Early_Dismissal_6[[#This Row],[Activity]]),"",IF(_xlfn.XLOOKUP(Term4_Early_Dismissal_6[[#This Row],[Activity]],Types_of_Activity[Type of Activity],Types_of_Activity[Classification])=2,Term4_Early_Dismissal_6[[#This Row],[Elapsed]],0))</f>
        <v/>
      </c>
    </row>
    <row r="85" spans="2:42" x14ac:dyDescent="0.3">
      <c r="B85" s="135"/>
      <c r="C85" s="135"/>
      <c r="D85" s="102"/>
      <c r="E85" s="105" t="str">
        <f>IF(OR(ISBLANK(Term4_Early_Dismissal_1[[#This Row],[Start]]),ISBLANK(Term4_Early_Dismissal_1[[#This Row],[End]])),"",(Term4_Early_Dismissal_1[[#This Row],[End]]-Term4_Early_Dismissal_1[[#This Row],[Start]])*1440)</f>
        <v/>
      </c>
      <c r="F85" s="105" t="str">
        <f>IF(ISBLANK(Term4_Early_Dismissal_1[[#This Row],[Activity]]),"",IF(_xlfn.XLOOKUP(Term4_Early_Dismissal_1[[#This Row],[Activity]],Types_of_Activity[Type of Activity],Types_of_Activity[Classification])=1,Term4_Early_Dismissal_1[[#This Row],[Elapsed]],0))</f>
        <v/>
      </c>
      <c r="G85" s="105" t="str">
        <f>IF(ISBLANK(Term4_Early_Dismissal_1[[#This Row],[Activity]]),"",IF(_xlfn.XLOOKUP(Term4_Early_Dismissal_1[[#This Row],[Activity]],Types_of_Activity[Type of Activity],Types_of_Activity[Classification])=2,Term4_Early_Dismissal_1[[#This Row],[Elapsed]],0))</f>
        <v/>
      </c>
      <c r="H85"/>
      <c r="I85" s="135"/>
      <c r="J85" s="135"/>
      <c r="K85" s="102"/>
      <c r="L85" s="105" t="str">
        <f>IF(OR(ISBLANK(Term4_Early_Dismissal_2[[#This Row],[Start]]),ISBLANK(Term4_Early_Dismissal_2[[#This Row],[End]])),"",(Term4_Early_Dismissal_2[[#This Row],[End]]-Term4_Early_Dismissal_2[[#This Row],[Start]])*1440)</f>
        <v/>
      </c>
      <c r="M85" s="105" t="str">
        <f>IF(ISBLANK(Term4_Early_Dismissal_2[[#This Row],[Activity]]),"",IF(_xlfn.XLOOKUP(Term4_Early_Dismissal_2[[#This Row],[Activity]],Types_of_Activity[Type of Activity],Types_of_Activity[Classification])=1,Term4_Early_Dismissal_2[[#This Row],[Elapsed]],0))</f>
        <v/>
      </c>
      <c r="N85" s="105" t="str">
        <f>IF(ISBLANK(Term4_Early_Dismissal_2[[#This Row],[Activity]]),"",IF(_xlfn.XLOOKUP(Term4_Early_Dismissal_2[[#This Row],[Activity]],Types_of_Activity[Type of Activity],Types_of_Activity[Classification])=2,Term4_Early_Dismissal_2[[#This Row],[Elapsed]],0))</f>
        <v/>
      </c>
      <c r="O85"/>
      <c r="P85" s="135"/>
      <c r="Q85" s="135"/>
      <c r="R85" s="102"/>
      <c r="S85" s="105" t="str">
        <f>IF(OR(ISBLANK(Term4_Early_Dismissal_3[[#This Row],[Start]]),ISBLANK(Term4_Early_Dismissal_3[[#This Row],[End]])),"",(Term4_Early_Dismissal_3[[#This Row],[End]]-Term4_Early_Dismissal_3[[#This Row],[Start]])*1440)</f>
        <v/>
      </c>
      <c r="T85" s="105" t="str">
        <f>IF(ISBLANK(Term4_Early_Dismissal_3[[#This Row],[Activity]]),"",IF(_xlfn.XLOOKUP(Term4_Early_Dismissal_3[[#This Row],[Activity]],Types_of_Activity[Type of Activity],Types_of_Activity[Classification])=1,Term4_Early_Dismissal_3[[#This Row],[Elapsed]],0))</f>
        <v/>
      </c>
      <c r="U85" s="105" t="str">
        <f>IF(ISBLANK(Term4_Early_Dismissal_3[[#This Row],[Activity]]),"",IF(_xlfn.XLOOKUP(Term4_Early_Dismissal_3[[#This Row],[Activity]],Types_of_Activity[Type of Activity],Types_of_Activity[Classification])=2,Term4_Early_Dismissal_3[[#This Row],[Elapsed]],0))</f>
        <v/>
      </c>
      <c r="W85" s="135"/>
      <c r="X85" s="135"/>
      <c r="Y85" s="102"/>
      <c r="Z85" s="105" t="str">
        <f>IF(OR(ISBLANK(Term4_Early_Dismissal_4[[#This Row],[Start]]),ISBLANK(Term4_Early_Dismissal_4[[#This Row],[End]])),"",(Term4_Early_Dismissal_4[[#This Row],[End]]-Term4_Early_Dismissal_4[[#This Row],[Start]])*1440)</f>
        <v/>
      </c>
      <c r="AA85" s="105" t="str">
        <f>IF(ISBLANK(Term4_Early_Dismissal_4[[#This Row],[Activity]]),"",IF(_xlfn.XLOOKUP(Term4_Early_Dismissal_4[[#This Row],[Activity]],Types_of_Activity[Type of Activity],Types_of_Activity[Classification])=1,Term4_Early_Dismissal_4[[#This Row],[Elapsed]],0))</f>
        <v/>
      </c>
      <c r="AB85" s="105" t="str">
        <f>IF(ISBLANK(Term4_Early_Dismissal_4[[#This Row],[Activity]]),"",IF(_xlfn.XLOOKUP(Term4_Early_Dismissal_4[[#This Row],[Activity]],Types_of_Activity[Type of Activity],Types_of_Activity[Classification])=2,Term4_Early_Dismissal_4[[#This Row],[Elapsed]],0))</f>
        <v/>
      </c>
      <c r="AD85" s="135"/>
      <c r="AE85" s="135"/>
      <c r="AF85" s="102"/>
      <c r="AG85" s="105" t="str">
        <f>IF(OR(ISBLANK(Term4_Early_Dismissal_5[[#This Row],[Start]]),ISBLANK(Term4_Early_Dismissal_5[[#This Row],[End]])),"",(Term4_Early_Dismissal_5[[#This Row],[End]]-Term4_Early_Dismissal_5[[#This Row],[Start]])*1440)</f>
        <v/>
      </c>
      <c r="AH85" s="105" t="str">
        <f>IF(ISBLANK(Term4_Early_Dismissal_5[[#This Row],[Activity]]),"",IF(_xlfn.XLOOKUP(Term4_Early_Dismissal_5[[#This Row],[Activity]],Types_of_Activity[Type of Activity],Types_of_Activity[Classification])=1,Term4_Early_Dismissal_5[[#This Row],[Elapsed]],0))</f>
        <v/>
      </c>
      <c r="AI85" s="105" t="str">
        <f>IF(ISBLANK(Term4_Early_Dismissal_5[[#This Row],[Activity]]),"",IF(_xlfn.XLOOKUP(Term4_Early_Dismissal_5[[#This Row],[Activity]],Types_of_Activity[Type of Activity],Types_of_Activity[Classification])=2,Term4_Early_Dismissal_5[[#This Row],[Elapsed]],0))</f>
        <v/>
      </c>
      <c r="AK85" s="135"/>
      <c r="AL85" s="135"/>
      <c r="AM85" s="102"/>
      <c r="AN85" s="105" t="str">
        <f>IF(OR(ISBLANK(Term4_Early_Dismissal_6[[#This Row],[Start]]),ISBLANK(Term4_Early_Dismissal_6[[#This Row],[End]])),"",(Term4_Early_Dismissal_6[[#This Row],[End]]-Term4_Early_Dismissal_6[[#This Row],[Start]])*1440)</f>
        <v/>
      </c>
      <c r="AO85" s="105" t="str">
        <f>IF(ISBLANK(Term4_Early_Dismissal_6[[#This Row],[Activity]]),"",IF(_xlfn.XLOOKUP(Term4_Early_Dismissal_6[[#This Row],[Activity]],Types_of_Activity[Type of Activity],Types_of_Activity[Classification])=1,Term4_Early_Dismissal_6[[#This Row],[Elapsed]],0))</f>
        <v/>
      </c>
      <c r="AP85" s="105" t="str">
        <f>IF(ISBLANK(Term4_Early_Dismissal_6[[#This Row],[Activity]]),"",IF(_xlfn.XLOOKUP(Term4_Early_Dismissal_6[[#This Row],[Activity]],Types_of_Activity[Type of Activity],Types_of_Activity[Classification])=2,Term4_Early_Dismissal_6[[#This Row],[Elapsed]],0))</f>
        <v/>
      </c>
    </row>
    <row r="86" spans="2:42" x14ac:dyDescent="0.3">
      <c r="B86" s="135"/>
      <c r="C86" s="135"/>
      <c r="D86" s="102"/>
      <c r="E86" s="105" t="str">
        <f>IF(OR(ISBLANK(Term4_Early_Dismissal_1[[#This Row],[Start]]),ISBLANK(Term4_Early_Dismissal_1[[#This Row],[End]])),"",(Term4_Early_Dismissal_1[[#This Row],[End]]-Term4_Early_Dismissal_1[[#This Row],[Start]])*1440)</f>
        <v/>
      </c>
      <c r="F86" s="105" t="str">
        <f>IF(ISBLANK(Term4_Early_Dismissal_1[[#This Row],[Activity]]),"",IF(_xlfn.XLOOKUP(Term4_Early_Dismissal_1[[#This Row],[Activity]],Types_of_Activity[Type of Activity],Types_of_Activity[Classification])=1,Term4_Early_Dismissal_1[[#This Row],[Elapsed]],0))</f>
        <v/>
      </c>
      <c r="G86" s="105" t="str">
        <f>IF(ISBLANK(Term4_Early_Dismissal_1[[#This Row],[Activity]]),"",IF(_xlfn.XLOOKUP(Term4_Early_Dismissal_1[[#This Row],[Activity]],Types_of_Activity[Type of Activity],Types_of_Activity[Classification])=2,Term4_Early_Dismissal_1[[#This Row],[Elapsed]],0))</f>
        <v/>
      </c>
      <c r="H86"/>
      <c r="I86" s="135"/>
      <c r="J86" s="135"/>
      <c r="K86" s="102"/>
      <c r="L86" s="105" t="str">
        <f>IF(OR(ISBLANK(Term4_Early_Dismissal_2[[#This Row],[Start]]),ISBLANK(Term4_Early_Dismissal_2[[#This Row],[End]])),"",(Term4_Early_Dismissal_2[[#This Row],[End]]-Term4_Early_Dismissal_2[[#This Row],[Start]])*1440)</f>
        <v/>
      </c>
      <c r="M86" s="105" t="str">
        <f>IF(ISBLANK(Term4_Early_Dismissal_2[[#This Row],[Activity]]),"",IF(_xlfn.XLOOKUP(Term4_Early_Dismissal_2[[#This Row],[Activity]],Types_of_Activity[Type of Activity],Types_of_Activity[Classification])=1,Term4_Early_Dismissal_2[[#This Row],[Elapsed]],0))</f>
        <v/>
      </c>
      <c r="N86" s="105" t="str">
        <f>IF(ISBLANK(Term4_Early_Dismissal_2[[#This Row],[Activity]]),"",IF(_xlfn.XLOOKUP(Term4_Early_Dismissal_2[[#This Row],[Activity]],Types_of_Activity[Type of Activity],Types_of_Activity[Classification])=2,Term4_Early_Dismissal_2[[#This Row],[Elapsed]],0))</f>
        <v/>
      </c>
      <c r="O86"/>
      <c r="P86" s="135"/>
      <c r="Q86" s="135"/>
      <c r="R86" s="102"/>
      <c r="S86" s="105" t="str">
        <f>IF(OR(ISBLANK(Term4_Early_Dismissal_3[[#This Row],[Start]]),ISBLANK(Term4_Early_Dismissal_3[[#This Row],[End]])),"",(Term4_Early_Dismissal_3[[#This Row],[End]]-Term4_Early_Dismissal_3[[#This Row],[Start]])*1440)</f>
        <v/>
      </c>
      <c r="T86" s="105" t="str">
        <f>IF(ISBLANK(Term4_Early_Dismissal_3[[#This Row],[Activity]]),"",IF(_xlfn.XLOOKUP(Term4_Early_Dismissal_3[[#This Row],[Activity]],Types_of_Activity[Type of Activity],Types_of_Activity[Classification])=1,Term4_Early_Dismissal_3[[#This Row],[Elapsed]],0))</f>
        <v/>
      </c>
      <c r="U86" s="105" t="str">
        <f>IF(ISBLANK(Term4_Early_Dismissal_3[[#This Row],[Activity]]),"",IF(_xlfn.XLOOKUP(Term4_Early_Dismissal_3[[#This Row],[Activity]],Types_of_Activity[Type of Activity],Types_of_Activity[Classification])=2,Term4_Early_Dismissal_3[[#This Row],[Elapsed]],0))</f>
        <v/>
      </c>
      <c r="W86" s="135"/>
      <c r="X86" s="135"/>
      <c r="Y86" s="102"/>
      <c r="Z86" s="105" t="str">
        <f>IF(OR(ISBLANK(Term4_Early_Dismissal_4[[#This Row],[Start]]),ISBLANK(Term4_Early_Dismissal_4[[#This Row],[End]])),"",(Term4_Early_Dismissal_4[[#This Row],[End]]-Term4_Early_Dismissal_4[[#This Row],[Start]])*1440)</f>
        <v/>
      </c>
      <c r="AA86" s="105" t="str">
        <f>IF(ISBLANK(Term4_Early_Dismissal_4[[#This Row],[Activity]]),"",IF(_xlfn.XLOOKUP(Term4_Early_Dismissal_4[[#This Row],[Activity]],Types_of_Activity[Type of Activity],Types_of_Activity[Classification])=1,Term4_Early_Dismissal_4[[#This Row],[Elapsed]],0))</f>
        <v/>
      </c>
      <c r="AB86" s="105" t="str">
        <f>IF(ISBLANK(Term4_Early_Dismissal_4[[#This Row],[Activity]]),"",IF(_xlfn.XLOOKUP(Term4_Early_Dismissal_4[[#This Row],[Activity]],Types_of_Activity[Type of Activity],Types_of_Activity[Classification])=2,Term4_Early_Dismissal_4[[#This Row],[Elapsed]],0))</f>
        <v/>
      </c>
      <c r="AD86" s="135"/>
      <c r="AE86" s="135"/>
      <c r="AF86" s="102"/>
      <c r="AG86" s="105" t="str">
        <f>IF(OR(ISBLANK(Term4_Early_Dismissal_5[[#This Row],[Start]]),ISBLANK(Term4_Early_Dismissal_5[[#This Row],[End]])),"",(Term4_Early_Dismissal_5[[#This Row],[End]]-Term4_Early_Dismissal_5[[#This Row],[Start]])*1440)</f>
        <v/>
      </c>
      <c r="AH86" s="105" t="str">
        <f>IF(ISBLANK(Term4_Early_Dismissal_5[[#This Row],[Activity]]),"",IF(_xlfn.XLOOKUP(Term4_Early_Dismissal_5[[#This Row],[Activity]],Types_of_Activity[Type of Activity],Types_of_Activity[Classification])=1,Term4_Early_Dismissal_5[[#This Row],[Elapsed]],0))</f>
        <v/>
      </c>
      <c r="AI86" s="105" t="str">
        <f>IF(ISBLANK(Term4_Early_Dismissal_5[[#This Row],[Activity]]),"",IF(_xlfn.XLOOKUP(Term4_Early_Dismissal_5[[#This Row],[Activity]],Types_of_Activity[Type of Activity],Types_of_Activity[Classification])=2,Term4_Early_Dismissal_5[[#This Row],[Elapsed]],0))</f>
        <v/>
      </c>
      <c r="AK86" s="135"/>
      <c r="AL86" s="135"/>
      <c r="AM86" s="102"/>
      <c r="AN86" s="105" t="str">
        <f>IF(OR(ISBLANK(Term4_Early_Dismissal_6[[#This Row],[Start]]),ISBLANK(Term4_Early_Dismissal_6[[#This Row],[End]])),"",(Term4_Early_Dismissal_6[[#This Row],[End]]-Term4_Early_Dismissal_6[[#This Row],[Start]])*1440)</f>
        <v/>
      </c>
      <c r="AO86" s="105" t="str">
        <f>IF(ISBLANK(Term4_Early_Dismissal_6[[#This Row],[Activity]]),"",IF(_xlfn.XLOOKUP(Term4_Early_Dismissal_6[[#This Row],[Activity]],Types_of_Activity[Type of Activity],Types_of_Activity[Classification])=1,Term4_Early_Dismissal_6[[#This Row],[Elapsed]],0))</f>
        <v/>
      </c>
      <c r="AP86" s="105" t="str">
        <f>IF(ISBLANK(Term4_Early_Dismissal_6[[#This Row],[Activity]]),"",IF(_xlfn.XLOOKUP(Term4_Early_Dismissal_6[[#This Row],[Activity]],Types_of_Activity[Type of Activity],Types_of_Activity[Classification])=2,Term4_Early_Dismissal_6[[#This Row],[Elapsed]],0))</f>
        <v/>
      </c>
    </row>
    <row r="87" spans="2:42" x14ac:dyDescent="0.3">
      <c r="B87" s="135"/>
      <c r="C87" s="135"/>
      <c r="D87" s="102"/>
      <c r="E87" s="105" t="str">
        <f>IF(OR(ISBLANK(Term4_Early_Dismissal_1[[#This Row],[Start]]),ISBLANK(Term4_Early_Dismissal_1[[#This Row],[End]])),"",(Term4_Early_Dismissal_1[[#This Row],[End]]-Term4_Early_Dismissal_1[[#This Row],[Start]])*1440)</f>
        <v/>
      </c>
      <c r="F87" s="105" t="str">
        <f>IF(ISBLANK(Term4_Early_Dismissal_1[[#This Row],[Activity]]),"",IF(_xlfn.XLOOKUP(Term4_Early_Dismissal_1[[#This Row],[Activity]],Types_of_Activity[Type of Activity],Types_of_Activity[Classification])=1,Term4_Early_Dismissal_1[[#This Row],[Elapsed]],0))</f>
        <v/>
      </c>
      <c r="G87" s="105" t="str">
        <f>IF(ISBLANK(Term4_Early_Dismissal_1[[#This Row],[Activity]]),"",IF(_xlfn.XLOOKUP(Term4_Early_Dismissal_1[[#This Row],[Activity]],Types_of_Activity[Type of Activity],Types_of_Activity[Classification])=2,Term4_Early_Dismissal_1[[#This Row],[Elapsed]],0))</f>
        <v/>
      </c>
      <c r="H87"/>
      <c r="I87" s="135"/>
      <c r="J87" s="135"/>
      <c r="K87" s="102"/>
      <c r="L87" s="105" t="str">
        <f>IF(OR(ISBLANK(Term4_Early_Dismissal_2[[#This Row],[Start]]),ISBLANK(Term4_Early_Dismissal_2[[#This Row],[End]])),"",(Term4_Early_Dismissal_2[[#This Row],[End]]-Term4_Early_Dismissal_2[[#This Row],[Start]])*1440)</f>
        <v/>
      </c>
      <c r="M87" s="105" t="str">
        <f>IF(ISBLANK(Term4_Early_Dismissal_2[[#This Row],[Activity]]),"",IF(_xlfn.XLOOKUP(Term4_Early_Dismissal_2[[#This Row],[Activity]],Types_of_Activity[Type of Activity],Types_of_Activity[Classification])=1,Term4_Early_Dismissal_2[[#This Row],[Elapsed]],0))</f>
        <v/>
      </c>
      <c r="N87" s="105" t="str">
        <f>IF(ISBLANK(Term4_Early_Dismissal_2[[#This Row],[Activity]]),"",IF(_xlfn.XLOOKUP(Term4_Early_Dismissal_2[[#This Row],[Activity]],Types_of_Activity[Type of Activity],Types_of_Activity[Classification])=2,Term4_Early_Dismissal_2[[#This Row],[Elapsed]],0))</f>
        <v/>
      </c>
      <c r="O87"/>
      <c r="P87" s="135"/>
      <c r="Q87" s="135"/>
      <c r="R87" s="102"/>
      <c r="S87" s="105" t="str">
        <f>IF(OR(ISBLANK(Term4_Early_Dismissal_3[[#This Row],[Start]]),ISBLANK(Term4_Early_Dismissal_3[[#This Row],[End]])),"",(Term4_Early_Dismissal_3[[#This Row],[End]]-Term4_Early_Dismissal_3[[#This Row],[Start]])*1440)</f>
        <v/>
      </c>
      <c r="T87" s="105" t="str">
        <f>IF(ISBLANK(Term4_Early_Dismissal_3[[#This Row],[Activity]]),"",IF(_xlfn.XLOOKUP(Term4_Early_Dismissal_3[[#This Row],[Activity]],Types_of_Activity[Type of Activity],Types_of_Activity[Classification])=1,Term4_Early_Dismissal_3[[#This Row],[Elapsed]],0))</f>
        <v/>
      </c>
      <c r="U87" s="105" t="str">
        <f>IF(ISBLANK(Term4_Early_Dismissal_3[[#This Row],[Activity]]),"",IF(_xlfn.XLOOKUP(Term4_Early_Dismissal_3[[#This Row],[Activity]],Types_of_Activity[Type of Activity],Types_of_Activity[Classification])=2,Term4_Early_Dismissal_3[[#This Row],[Elapsed]],0))</f>
        <v/>
      </c>
      <c r="W87" s="135"/>
      <c r="X87" s="135"/>
      <c r="Y87" s="102"/>
      <c r="Z87" s="105" t="str">
        <f>IF(OR(ISBLANK(Term4_Early_Dismissal_4[[#This Row],[Start]]),ISBLANK(Term4_Early_Dismissal_4[[#This Row],[End]])),"",(Term4_Early_Dismissal_4[[#This Row],[End]]-Term4_Early_Dismissal_4[[#This Row],[Start]])*1440)</f>
        <v/>
      </c>
      <c r="AA87" s="105" t="str">
        <f>IF(ISBLANK(Term4_Early_Dismissal_4[[#This Row],[Activity]]),"",IF(_xlfn.XLOOKUP(Term4_Early_Dismissal_4[[#This Row],[Activity]],Types_of_Activity[Type of Activity],Types_of_Activity[Classification])=1,Term4_Early_Dismissal_4[[#This Row],[Elapsed]],0))</f>
        <v/>
      </c>
      <c r="AB87" s="105" t="str">
        <f>IF(ISBLANK(Term4_Early_Dismissal_4[[#This Row],[Activity]]),"",IF(_xlfn.XLOOKUP(Term4_Early_Dismissal_4[[#This Row],[Activity]],Types_of_Activity[Type of Activity],Types_of_Activity[Classification])=2,Term4_Early_Dismissal_4[[#This Row],[Elapsed]],0))</f>
        <v/>
      </c>
      <c r="AD87" s="135"/>
      <c r="AE87" s="135"/>
      <c r="AF87" s="102"/>
      <c r="AG87" s="105" t="str">
        <f>IF(OR(ISBLANK(Term4_Early_Dismissal_5[[#This Row],[Start]]),ISBLANK(Term4_Early_Dismissal_5[[#This Row],[End]])),"",(Term4_Early_Dismissal_5[[#This Row],[End]]-Term4_Early_Dismissal_5[[#This Row],[Start]])*1440)</f>
        <v/>
      </c>
      <c r="AH87" s="105" t="str">
        <f>IF(ISBLANK(Term4_Early_Dismissal_5[[#This Row],[Activity]]),"",IF(_xlfn.XLOOKUP(Term4_Early_Dismissal_5[[#This Row],[Activity]],Types_of_Activity[Type of Activity],Types_of_Activity[Classification])=1,Term4_Early_Dismissal_5[[#This Row],[Elapsed]],0))</f>
        <v/>
      </c>
      <c r="AI87" s="105" t="str">
        <f>IF(ISBLANK(Term4_Early_Dismissal_5[[#This Row],[Activity]]),"",IF(_xlfn.XLOOKUP(Term4_Early_Dismissal_5[[#This Row],[Activity]],Types_of_Activity[Type of Activity],Types_of_Activity[Classification])=2,Term4_Early_Dismissal_5[[#This Row],[Elapsed]],0))</f>
        <v/>
      </c>
      <c r="AK87" s="135"/>
      <c r="AL87" s="135"/>
      <c r="AM87" s="102"/>
      <c r="AN87" s="105" t="str">
        <f>IF(OR(ISBLANK(Term4_Early_Dismissal_6[[#This Row],[Start]]),ISBLANK(Term4_Early_Dismissal_6[[#This Row],[End]])),"",(Term4_Early_Dismissal_6[[#This Row],[End]]-Term4_Early_Dismissal_6[[#This Row],[Start]])*1440)</f>
        <v/>
      </c>
      <c r="AO87" s="105" t="str">
        <f>IF(ISBLANK(Term4_Early_Dismissal_6[[#This Row],[Activity]]),"",IF(_xlfn.XLOOKUP(Term4_Early_Dismissal_6[[#This Row],[Activity]],Types_of_Activity[Type of Activity],Types_of_Activity[Classification])=1,Term4_Early_Dismissal_6[[#This Row],[Elapsed]],0))</f>
        <v/>
      </c>
      <c r="AP87" s="105" t="str">
        <f>IF(ISBLANK(Term4_Early_Dismissal_6[[#This Row],[Activity]]),"",IF(_xlfn.XLOOKUP(Term4_Early_Dismissal_6[[#This Row],[Activity]],Types_of_Activity[Type of Activity],Types_of_Activity[Classification])=2,Term4_Early_Dismissal_6[[#This Row],[Elapsed]],0))</f>
        <v/>
      </c>
    </row>
    <row r="88" spans="2:42" x14ac:dyDescent="0.3">
      <c r="B88" s="135"/>
      <c r="C88" s="135"/>
      <c r="D88" s="102"/>
      <c r="E88" s="105" t="str">
        <f>IF(OR(ISBLANK(Term4_Early_Dismissal_1[[#This Row],[Start]]),ISBLANK(Term4_Early_Dismissal_1[[#This Row],[End]])),"",(Term4_Early_Dismissal_1[[#This Row],[End]]-Term4_Early_Dismissal_1[[#This Row],[Start]])*1440)</f>
        <v/>
      </c>
      <c r="F88" s="105" t="str">
        <f>IF(ISBLANK(Term4_Early_Dismissal_1[[#This Row],[Activity]]),"",IF(_xlfn.XLOOKUP(Term4_Early_Dismissal_1[[#This Row],[Activity]],Types_of_Activity[Type of Activity],Types_of_Activity[Classification])=1,Term4_Early_Dismissal_1[[#This Row],[Elapsed]],0))</f>
        <v/>
      </c>
      <c r="G88" s="105" t="str">
        <f>IF(ISBLANK(Term4_Early_Dismissal_1[[#This Row],[Activity]]),"",IF(_xlfn.XLOOKUP(Term4_Early_Dismissal_1[[#This Row],[Activity]],Types_of_Activity[Type of Activity],Types_of_Activity[Classification])=2,Term4_Early_Dismissal_1[[#This Row],[Elapsed]],0))</f>
        <v/>
      </c>
      <c r="H88"/>
      <c r="I88" s="135"/>
      <c r="J88" s="135"/>
      <c r="K88" s="102"/>
      <c r="L88" s="105" t="str">
        <f>IF(OR(ISBLANK(Term4_Early_Dismissal_2[[#This Row],[Start]]),ISBLANK(Term4_Early_Dismissal_2[[#This Row],[End]])),"",(Term4_Early_Dismissal_2[[#This Row],[End]]-Term4_Early_Dismissal_2[[#This Row],[Start]])*1440)</f>
        <v/>
      </c>
      <c r="M88" s="105" t="str">
        <f>IF(ISBLANK(Term4_Early_Dismissal_2[[#This Row],[Activity]]),"",IF(_xlfn.XLOOKUP(Term4_Early_Dismissal_2[[#This Row],[Activity]],Types_of_Activity[Type of Activity],Types_of_Activity[Classification])=1,Term4_Early_Dismissal_2[[#This Row],[Elapsed]],0))</f>
        <v/>
      </c>
      <c r="N88" s="105" t="str">
        <f>IF(ISBLANK(Term4_Early_Dismissal_2[[#This Row],[Activity]]),"",IF(_xlfn.XLOOKUP(Term4_Early_Dismissal_2[[#This Row],[Activity]],Types_of_Activity[Type of Activity],Types_of_Activity[Classification])=2,Term4_Early_Dismissal_2[[#This Row],[Elapsed]],0))</f>
        <v/>
      </c>
      <c r="O88"/>
      <c r="P88" s="135"/>
      <c r="Q88" s="135"/>
      <c r="R88" s="102"/>
      <c r="S88" s="105" t="str">
        <f>IF(OR(ISBLANK(Term4_Early_Dismissal_3[[#This Row],[Start]]),ISBLANK(Term4_Early_Dismissal_3[[#This Row],[End]])),"",(Term4_Early_Dismissal_3[[#This Row],[End]]-Term4_Early_Dismissal_3[[#This Row],[Start]])*1440)</f>
        <v/>
      </c>
      <c r="T88" s="105" t="str">
        <f>IF(ISBLANK(Term4_Early_Dismissal_3[[#This Row],[Activity]]),"",IF(_xlfn.XLOOKUP(Term4_Early_Dismissal_3[[#This Row],[Activity]],Types_of_Activity[Type of Activity],Types_of_Activity[Classification])=1,Term4_Early_Dismissal_3[[#This Row],[Elapsed]],0))</f>
        <v/>
      </c>
      <c r="U88" s="105" t="str">
        <f>IF(ISBLANK(Term4_Early_Dismissal_3[[#This Row],[Activity]]),"",IF(_xlfn.XLOOKUP(Term4_Early_Dismissal_3[[#This Row],[Activity]],Types_of_Activity[Type of Activity],Types_of_Activity[Classification])=2,Term4_Early_Dismissal_3[[#This Row],[Elapsed]],0))</f>
        <v/>
      </c>
      <c r="W88" s="135"/>
      <c r="X88" s="135"/>
      <c r="Y88" s="102"/>
      <c r="Z88" s="105" t="str">
        <f>IF(OR(ISBLANK(Term4_Early_Dismissal_4[[#This Row],[Start]]),ISBLANK(Term4_Early_Dismissal_4[[#This Row],[End]])),"",(Term4_Early_Dismissal_4[[#This Row],[End]]-Term4_Early_Dismissal_4[[#This Row],[Start]])*1440)</f>
        <v/>
      </c>
      <c r="AA88" s="105" t="str">
        <f>IF(ISBLANK(Term4_Early_Dismissal_4[[#This Row],[Activity]]),"",IF(_xlfn.XLOOKUP(Term4_Early_Dismissal_4[[#This Row],[Activity]],Types_of_Activity[Type of Activity],Types_of_Activity[Classification])=1,Term4_Early_Dismissal_4[[#This Row],[Elapsed]],0))</f>
        <v/>
      </c>
      <c r="AB88" s="105" t="str">
        <f>IF(ISBLANK(Term4_Early_Dismissal_4[[#This Row],[Activity]]),"",IF(_xlfn.XLOOKUP(Term4_Early_Dismissal_4[[#This Row],[Activity]],Types_of_Activity[Type of Activity],Types_of_Activity[Classification])=2,Term4_Early_Dismissal_4[[#This Row],[Elapsed]],0))</f>
        <v/>
      </c>
      <c r="AD88" s="135"/>
      <c r="AE88" s="135"/>
      <c r="AF88" s="102"/>
      <c r="AG88" s="105" t="str">
        <f>IF(OR(ISBLANK(Term4_Early_Dismissal_5[[#This Row],[Start]]),ISBLANK(Term4_Early_Dismissal_5[[#This Row],[End]])),"",(Term4_Early_Dismissal_5[[#This Row],[End]]-Term4_Early_Dismissal_5[[#This Row],[Start]])*1440)</f>
        <v/>
      </c>
      <c r="AH88" s="105" t="str">
        <f>IF(ISBLANK(Term4_Early_Dismissal_5[[#This Row],[Activity]]),"",IF(_xlfn.XLOOKUP(Term4_Early_Dismissal_5[[#This Row],[Activity]],Types_of_Activity[Type of Activity],Types_of_Activity[Classification])=1,Term4_Early_Dismissal_5[[#This Row],[Elapsed]],0))</f>
        <v/>
      </c>
      <c r="AI88" s="105" t="str">
        <f>IF(ISBLANK(Term4_Early_Dismissal_5[[#This Row],[Activity]]),"",IF(_xlfn.XLOOKUP(Term4_Early_Dismissal_5[[#This Row],[Activity]],Types_of_Activity[Type of Activity],Types_of_Activity[Classification])=2,Term4_Early_Dismissal_5[[#This Row],[Elapsed]],0))</f>
        <v/>
      </c>
      <c r="AK88" s="135"/>
      <c r="AL88" s="135"/>
      <c r="AM88" s="102"/>
      <c r="AN88" s="105" t="str">
        <f>IF(OR(ISBLANK(Term4_Early_Dismissal_6[[#This Row],[Start]]),ISBLANK(Term4_Early_Dismissal_6[[#This Row],[End]])),"",(Term4_Early_Dismissal_6[[#This Row],[End]]-Term4_Early_Dismissal_6[[#This Row],[Start]])*1440)</f>
        <v/>
      </c>
      <c r="AO88" s="105" t="str">
        <f>IF(ISBLANK(Term4_Early_Dismissal_6[[#This Row],[Activity]]),"",IF(_xlfn.XLOOKUP(Term4_Early_Dismissal_6[[#This Row],[Activity]],Types_of_Activity[Type of Activity],Types_of_Activity[Classification])=1,Term4_Early_Dismissal_6[[#This Row],[Elapsed]],0))</f>
        <v/>
      </c>
      <c r="AP88" s="105" t="str">
        <f>IF(ISBLANK(Term4_Early_Dismissal_6[[#This Row],[Activity]]),"",IF(_xlfn.XLOOKUP(Term4_Early_Dismissal_6[[#This Row],[Activity]],Types_of_Activity[Type of Activity],Types_of_Activity[Classification])=2,Term4_Early_Dismissal_6[[#This Row],[Elapsed]],0))</f>
        <v/>
      </c>
    </row>
    <row r="89" spans="2:42" x14ac:dyDescent="0.3">
      <c r="B89" s="135"/>
      <c r="C89" s="135"/>
      <c r="D89" s="102"/>
      <c r="E89" s="105" t="str">
        <f>IF(OR(ISBLANK(Term4_Early_Dismissal_1[[#This Row],[Start]]),ISBLANK(Term4_Early_Dismissal_1[[#This Row],[End]])),"",(Term4_Early_Dismissal_1[[#This Row],[End]]-Term4_Early_Dismissal_1[[#This Row],[Start]])*1440)</f>
        <v/>
      </c>
      <c r="F89" s="105" t="str">
        <f>IF(ISBLANK(Term4_Early_Dismissal_1[[#This Row],[Activity]]),"",IF(_xlfn.XLOOKUP(Term4_Early_Dismissal_1[[#This Row],[Activity]],Types_of_Activity[Type of Activity],Types_of_Activity[Classification])=1,Term4_Early_Dismissal_1[[#This Row],[Elapsed]],0))</f>
        <v/>
      </c>
      <c r="G89" s="105" t="str">
        <f>IF(ISBLANK(Term4_Early_Dismissal_1[[#This Row],[Activity]]),"",IF(_xlfn.XLOOKUP(Term4_Early_Dismissal_1[[#This Row],[Activity]],Types_of_Activity[Type of Activity],Types_of_Activity[Classification])=2,Term4_Early_Dismissal_1[[#This Row],[Elapsed]],0))</f>
        <v/>
      </c>
      <c r="H89"/>
      <c r="I89" s="135"/>
      <c r="J89" s="135"/>
      <c r="K89" s="102"/>
      <c r="L89" s="105" t="str">
        <f>IF(OR(ISBLANK(Term4_Early_Dismissal_2[[#This Row],[Start]]),ISBLANK(Term4_Early_Dismissal_2[[#This Row],[End]])),"",(Term4_Early_Dismissal_2[[#This Row],[End]]-Term4_Early_Dismissal_2[[#This Row],[Start]])*1440)</f>
        <v/>
      </c>
      <c r="M89" s="105" t="str">
        <f>IF(ISBLANK(Term4_Early_Dismissal_2[[#This Row],[Activity]]),"",IF(_xlfn.XLOOKUP(Term4_Early_Dismissal_2[[#This Row],[Activity]],Types_of_Activity[Type of Activity],Types_of_Activity[Classification])=1,Term4_Early_Dismissal_2[[#This Row],[Elapsed]],0))</f>
        <v/>
      </c>
      <c r="N89" s="105" t="str">
        <f>IF(ISBLANK(Term4_Early_Dismissal_2[[#This Row],[Activity]]),"",IF(_xlfn.XLOOKUP(Term4_Early_Dismissal_2[[#This Row],[Activity]],Types_of_Activity[Type of Activity],Types_of_Activity[Classification])=2,Term4_Early_Dismissal_2[[#This Row],[Elapsed]],0))</f>
        <v/>
      </c>
      <c r="O89"/>
      <c r="P89" s="135"/>
      <c r="Q89" s="135"/>
      <c r="R89" s="102"/>
      <c r="S89" s="105" t="str">
        <f>IF(OR(ISBLANK(Term4_Early_Dismissal_3[[#This Row],[Start]]),ISBLANK(Term4_Early_Dismissal_3[[#This Row],[End]])),"",(Term4_Early_Dismissal_3[[#This Row],[End]]-Term4_Early_Dismissal_3[[#This Row],[Start]])*1440)</f>
        <v/>
      </c>
      <c r="T89" s="105" t="str">
        <f>IF(ISBLANK(Term4_Early_Dismissal_3[[#This Row],[Activity]]),"",IF(_xlfn.XLOOKUP(Term4_Early_Dismissal_3[[#This Row],[Activity]],Types_of_Activity[Type of Activity],Types_of_Activity[Classification])=1,Term4_Early_Dismissal_3[[#This Row],[Elapsed]],0))</f>
        <v/>
      </c>
      <c r="U89" s="105" t="str">
        <f>IF(ISBLANK(Term4_Early_Dismissal_3[[#This Row],[Activity]]),"",IF(_xlfn.XLOOKUP(Term4_Early_Dismissal_3[[#This Row],[Activity]],Types_of_Activity[Type of Activity],Types_of_Activity[Classification])=2,Term4_Early_Dismissal_3[[#This Row],[Elapsed]],0))</f>
        <v/>
      </c>
      <c r="W89" s="135"/>
      <c r="X89" s="135"/>
      <c r="Y89" s="102"/>
      <c r="Z89" s="105" t="str">
        <f>IF(OR(ISBLANK(Term4_Early_Dismissal_4[[#This Row],[Start]]),ISBLANK(Term4_Early_Dismissal_4[[#This Row],[End]])),"",(Term4_Early_Dismissal_4[[#This Row],[End]]-Term4_Early_Dismissal_4[[#This Row],[Start]])*1440)</f>
        <v/>
      </c>
      <c r="AA89" s="105" t="str">
        <f>IF(ISBLANK(Term4_Early_Dismissal_4[[#This Row],[Activity]]),"",IF(_xlfn.XLOOKUP(Term4_Early_Dismissal_4[[#This Row],[Activity]],Types_of_Activity[Type of Activity],Types_of_Activity[Classification])=1,Term4_Early_Dismissal_4[[#This Row],[Elapsed]],0))</f>
        <v/>
      </c>
      <c r="AB89" s="105" t="str">
        <f>IF(ISBLANK(Term4_Early_Dismissal_4[[#This Row],[Activity]]),"",IF(_xlfn.XLOOKUP(Term4_Early_Dismissal_4[[#This Row],[Activity]],Types_of_Activity[Type of Activity],Types_of_Activity[Classification])=2,Term4_Early_Dismissal_4[[#This Row],[Elapsed]],0))</f>
        <v/>
      </c>
      <c r="AD89" s="135"/>
      <c r="AE89" s="135"/>
      <c r="AF89" s="102"/>
      <c r="AG89" s="105" t="str">
        <f>IF(OR(ISBLANK(Term4_Early_Dismissal_5[[#This Row],[Start]]),ISBLANK(Term4_Early_Dismissal_5[[#This Row],[End]])),"",(Term4_Early_Dismissal_5[[#This Row],[End]]-Term4_Early_Dismissal_5[[#This Row],[Start]])*1440)</f>
        <v/>
      </c>
      <c r="AH89" s="105" t="str">
        <f>IF(ISBLANK(Term4_Early_Dismissal_5[[#This Row],[Activity]]),"",IF(_xlfn.XLOOKUP(Term4_Early_Dismissal_5[[#This Row],[Activity]],Types_of_Activity[Type of Activity],Types_of_Activity[Classification])=1,Term4_Early_Dismissal_5[[#This Row],[Elapsed]],0))</f>
        <v/>
      </c>
      <c r="AI89" s="105" t="str">
        <f>IF(ISBLANK(Term4_Early_Dismissal_5[[#This Row],[Activity]]),"",IF(_xlfn.XLOOKUP(Term4_Early_Dismissal_5[[#This Row],[Activity]],Types_of_Activity[Type of Activity],Types_of_Activity[Classification])=2,Term4_Early_Dismissal_5[[#This Row],[Elapsed]],0))</f>
        <v/>
      </c>
      <c r="AK89" s="135"/>
      <c r="AL89" s="135"/>
      <c r="AM89" s="102"/>
      <c r="AN89" s="105" t="str">
        <f>IF(OR(ISBLANK(Term4_Early_Dismissal_6[[#This Row],[Start]]),ISBLANK(Term4_Early_Dismissal_6[[#This Row],[End]])),"",(Term4_Early_Dismissal_6[[#This Row],[End]]-Term4_Early_Dismissal_6[[#This Row],[Start]])*1440)</f>
        <v/>
      </c>
      <c r="AO89" s="105" t="str">
        <f>IF(ISBLANK(Term4_Early_Dismissal_6[[#This Row],[Activity]]),"",IF(_xlfn.XLOOKUP(Term4_Early_Dismissal_6[[#This Row],[Activity]],Types_of_Activity[Type of Activity],Types_of_Activity[Classification])=1,Term4_Early_Dismissal_6[[#This Row],[Elapsed]],0))</f>
        <v/>
      </c>
      <c r="AP89" s="105" t="str">
        <f>IF(ISBLANK(Term4_Early_Dismissal_6[[#This Row],[Activity]]),"",IF(_xlfn.XLOOKUP(Term4_Early_Dismissal_6[[#This Row],[Activity]],Types_of_Activity[Type of Activity],Types_of_Activity[Classification])=2,Term4_Early_Dismissal_6[[#This Row],[Elapsed]],0))</f>
        <v/>
      </c>
    </row>
    <row r="90" spans="2:42" x14ac:dyDescent="0.3">
      <c r="B90"/>
      <c r="C90"/>
      <c r="D90"/>
      <c r="E90"/>
      <c r="F90"/>
      <c r="G90"/>
      <c r="H90"/>
      <c r="I90"/>
      <c r="J90"/>
      <c r="K90"/>
      <c r="L90"/>
      <c r="M90"/>
      <c r="N90"/>
      <c r="O90"/>
      <c r="P90"/>
      <c r="Q90"/>
      <c r="R90"/>
      <c r="S90"/>
      <c r="T90"/>
      <c r="U90"/>
      <c r="V90"/>
    </row>
    <row r="91" spans="2:42" x14ac:dyDescent="0.3">
      <c r="B91"/>
      <c r="C91"/>
      <c r="D91"/>
      <c r="E91"/>
      <c r="F91"/>
      <c r="G91"/>
      <c r="H91"/>
      <c r="I91"/>
      <c r="J91"/>
      <c r="K91"/>
      <c r="L91"/>
      <c r="M91"/>
      <c r="N91"/>
      <c r="O91"/>
      <c r="P91"/>
      <c r="Q91"/>
      <c r="R91"/>
      <c r="S91"/>
      <c r="T91"/>
      <c r="U91"/>
      <c r="V91"/>
    </row>
    <row r="92" spans="2:42" x14ac:dyDescent="0.3">
      <c r="B92"/>
      <c r="C92"/>
      <c r="D92"/>
      <c r="E92"/>
      <c r="F92"/>
      <c r="G92"/>
      <c r="H92"/>
      <c r="I92"/>
      <c r="J92"/>
      <c r="K92"/>
      <c r="L92"/>
      <c r="M92"/>
      <c r="N92"/>
      <c r="O92"/>
      <c r="P92"/>
      <c r="Q92"/>
      <c r="R92"/>
      <c r="S92"/>
      <c r="T92"/>
      <c r="U92"/>
      <c r="V92"/>
    </row>
    <row r="93" spans="2:42" x14ac:dyDescent="0.3">
      <c r="B93"/>
      <c r="C93"/>
      <c r="D93"/>
      <c r="E93"/>
      <c r="F93"/>
      <c r="G93"/>
      <c r="H93"/>
      <c r="I93"/>
      <c r="J93"/>
      <c r="K93"/>
      <c r="L93"/>
      <c r="M93"/>
      <c r="N93"/>
      <c r="O93"/>
      <c r="P93"/>
      <c r="Q93"/>
      <c r="R93"/>
      <c r="S93"/>
      <c r="T93"/>
      <c r="U93"/>
      <c r="V93"/>
    </row>
    <row r="94" spans="2:42" x14ac:dyDescent="0.3">
      <c r="B94"/>
      <c r="C94"/>
      <c r="D94"/>
      <c r="E94"/>
      <c r="F94"/>
      <c r="G94"/>
      <c r="H94"/>
      <c r="I94"/>
      <c r="J94"/>
      <c r="K94"/>
      <c r="L94"/>
      <c r="M94"/>
      <c r="N94"/>
      <c r="O94"/>
      <c r="P94"/>
      <c r="Q94"/>
      <c r="R94"/>
      <c r="S94"/>
      <c r="T94"/>
      <c r="U94"/>
      <c r="V94"/>
    </row>
    <row r="95" spans="2:42" x14ac:dyDescent="0.3">
      <c r="B95"/>
      <c r="C95"/>
      <c r="D95"/>
      <c r="E95"/>
      <c r="F95"/>
      <c r="G95"/>
      <c r="H95"/>
      <c r="I95"/>
      <c r="J95"/>
      <c r="K95"/>
      <c r="L95"/>
      <c r="M95"/>
      <c r="N95"/>
      <c r="O95"/>
      <c r="P95"/>
      <c r="Q95"/>
      <c r="R95"/>
      <c r="S95"/>
      <c r="T95"/>
      <c r="U95"/>
      <c r="V95"/>
    </row>
    <row r="96" spans="2:42" x14ac:dyDescent="0.3">
      <c r="B96"/>
      <c r="C96"/>
      <c r="D96"/>
      <c r="E96"/>
      <c r="F96"/>
      <c r="G96"/>
      <c r="H96"/>
      <c r="I96"/>
      <c r="J96"/>
      <c r="K96"/>
      <c r="L96"/>
      <c r="M96"/>
      <c r="N96"/>
      <c r="O96"/>
      <c r="P96"/>
      <c r="Q96"/>
      <c r="R96"/>
      <c r="S96"/>
      <c r="T96"/>
      <c r="U96"/>
      <c r="V96"/>
    </row>
    <row r="97" spans="2:22" ht="30.6" x14ac:dyDescent="0.55000000000000004">
      <c r="B97" s="104" t="s">
        <v>25</v>
      </c>
      <c r="F97" s="105"/>
      <c r="G97" s="105"/>
      <c r="H97"/>
      <c r="I97" s="104" t="s">
        <v>26</v>
      </c>
      <c r="M97" s="105"/>
      <c r="N97" s="105"/>
      <c r="O97"/>
      <c r="P97" s="104" t="s">
        <v>27</v>
      </c>
      <c r="T97" s="105"/>
      <c r="U97" s="105"/>
      <c r="V97" s="105"/>
    </row>
    <row r="98" spans="2:22" ht="28.8" x14ac:dyDescent="0.3">
      <c r="B98" s="119" t="s">
        <v>16</v>
      </c>
      <c r="C98" s="119" t="s">
        <v>17</v>
      </c>
      <c r="D98" s="119" t="s">
        <v>19</v>
      </c>
      <c r="E98" s="119" t="s">
        <v>18</v>
      </c>
      <c r="F98" s="119" t="s">
        <v>20</v>
      </c>
      <c r="G98" s="120" t="s">
        <v>4075</v>
      </c>
      <c r="H98"/>
      <c r="I98" s="119" t="s">
        <v>16</v>
      </c>
      <c r="J98" s="119" t="s">
        <v>17</v>
      </c>
      <c r="K98" s="119" t="s">
        <v>19</v>
      </c>
      <c r="L98" s="119" t="s">
        <v>18</v>
      </c>
      <c r="M98" s="119" t="s">
        <v>20</v>
      </c>
      <c r="N98" s="120" t="s">
        <v>4075</v>
      </c>
      <c r="O98"/>
      <c r="P98" s="119" t="s">
        <v>16</v>
      </c>
      <c r="Q98" s="119" t="s">
        <v>17</v>
      </c>
      <c r="R98" s="119" t="s">
        <v>19</v>
      </c>
      <c r="S98" s="119" t="s">
        <v>18</v>
      </c>
      <c r="T98" s="119" t="s">
        <v>20</v>
      </c>
      <c r="U98" s="120" t="s">
        <v>4075</v>
      </c>
      <c r="V98"/>
    </row>
    <row r="99" spans="2:22" x14ac:dyDescent="0.3">
      <c r="B99" s="135"/>
      <c r="C99" s="135"/>
      <c r="D99" s="102"/>
      <c r="E99" s="105" t="str">
        <f>IF(OR(ISBLANK(Term4_Special_Day_1[[#This Row],[Start]]),ISBLANK(Term4_Special_Day_1[[#This Row],[End]])),"",(Term4_Special_Day_1[[#This Row],[End]]-Term4_Special_Day_1[[#This Row],[Start]])*1440)</f>
        <v/>
      </c>
      <c r="F99" s="105" t="str">
        <f>IF(ISBLANK(Term4_Special_Day_1[[#This Row],[Activity]]),"",IF(_xlfn.XLOOKUP(Term4_Special_Day_1[[#This Row],[Activity]],Types_of_Activity[Type of Activity],Types_of_Activity[Classification])=1,Term4_Special_Day_1[[#This Row],[Elapsed]],0))</f>
        <v/>
      </c>
      <c r="G99" s="105" t="str">
        <f>IF(ISBLANK(Term4_Special_Day_1[[#This Row],[Activity]]),"",IF(_xlfn.XLOOKUP(Term4_Special_Day_1[[#This Row],[Activity]],Types_of_Activity[Type of Activity],Types_of_Activity[Classification])=2,Term4_Special_Day_1[[#This Row],[Elapsed]],0))</f>
        <v/>
      </c>
      <c r="H99"/>
      <c r="I99" s="135"/>
      <c r="J99" s="135"/>
      <c r="K99" s="102"/>
      <c r="L99" s="105" t="str">
        <f>IF(OR(ISBLANK(Term4_Special_Day_2[[#This Row],[Start]]),ISBLANK(Term4_Special_Day_2[[#This Row],[End]])),"",(Term4_Special_Day_2[[#This Row],[End]]-Term4_Special_Day_2[[#This Row],[Start]])*1440)</f>
        <v/>
      </c>
      <c r="M99" s="105" t="str">
        <f>IF(ISBLANK(Term4_Special_Day_2[[#This Row],[Activity]]),"",IF(_xlfn.XLOOKUP(Term4_Special_Day_2[[#This Row],[Activity]],Types_of_Activity[Type of Activity],Types_of_Activity[Classification])=1,Term4_Special_Day_2[[#This Row],[Elapsed]],0))</f>
        <v/>
      </c>
      <c r="N99" s="105" t="str">
        <f>IF(ISBLANK(Term4_Special_Day_2[[#This Row],[Activity]]),"",IF(_xlfn.XLOOKUP(Term4_Special_Day_2[[#This Row],[Activity]],Types_of_Activity[Type of Activity],Types_of_Activity[Classification])=2,Term4_Special_Day_2[[#This Row],[Elapsed]],0))</f>
        <v/>
      </c>
      <c r="O99"/>
      <c r="P99" s="135"/>
      <c r="Q99" s="135"/>
      <c r="R99" s="102"/>
      <c r="S99" s="105" t="str">
        <f>IF(OR(ISBLANK(Term4_Special_Day_3[[#This Row],[Start]]),ISBLANK(Term4_Special_Day_3[[#This Row],[End]])),"",(Term4_Special_Day_3[[#This Row],[End]]-Term4_Special_Day_3[[#This Row],[Start]])*1440)</f>
        <v/>
      </c>
      <c r="T99" s="105" t="str">
        <f>IF(ISBLANK(Term4_Special_Day_3[[#This Row],[Activity]]),"",IF(_xlfn.XLOOKUP(Term4_Special_Day_3[[#This Row],[Activity]],Types_of_Activity[Type of Activity],Types_of_Activity[Classification])=1,Term4_Special_Day_3[[#This Row],[Elapsed]],0))</f>
        <v/>
      </c>
      <c r="U99" s="105" t="str">
        <f>IF(ISBLANK(Term4_Special_Day_3[[#This Row],[Activity]]),"",IF(_xlfn.XLOOKUP(Term4_Special_Day_3[[#This Row],[Activity]],Types_of_Activity[Type of Activity],Types_of_Activity[Classification])=2,Term4_Special_Day_3[[#This Row],[Elapsed]],0))</f>
        <v/>
      </c>
      <c r="V99" s="105"/>
    </row>
    <row r="100" spans="2:22" x14ac:dyDescent="0.3">
      <c r="B100" s="135"/>
      <c r="C100" s="135"/>
      <c r="D100" s="102"/>
      <c r="E100" s="105" t="str">
        <f>IF(OR(ISBLANK(Term4_Special_Day_1[[#This Row],[Start]]),ISBLANK(Term4_Special_Day_1[[#This Row],[End]])),"",(Term4_Special_Day_1[[#This Row],[End]]-Term4_Special_Day_1[[#This Row],[Start]])*1440)</f>
        <v/>
      </c>
      <c r="F100" s="105" t="str">
        <f>IF(ISBLANK(Term4_Special_Day_1[[#This Row],[Activity]]),"",IF(_xlfn.XLOOKUP(Term4_Special_Day_1[[#This Row],[Activity]],Types_of_Activity[Type of Activity],Types_of_Activity[Classification])=1,Term4_Special_Day_1[[#This Row],[Elapsed]],0))</f>
        <v/>
      </c>
      <c r="G100" s="105" t="str">
        <f>IF(ISBLANK(Term4_Special_Day_1[[#This Row],[Activity]]),"",IF(_xlfn.XLOOKUP(Term4_Special_Day_1[[#This Row],[Activity]],Types_of_Activity[Type of Activity],Types_of_Activity[Classification])=2,Term4_Special_Day_1[[#This Row],[Elapsed]],0))</f>
        <v/>
      </c>
      <c r="H100"/>
      <c r="I100" s="135"/>
      <c r="J100" s="135"/>
      <c r="K100" s="102"/>
      <c r="L100" s="105" t="str">
        <f>IF(OR(ISBLANK(Term4_Special_Day_2[[#This Row],[Start]]),ISBLANK(Term4_Special_Day_2[[#This Row],[End]])),"",(Term4_Special_Day_2[[#This Row],[End]]-Term4_Special_Day_2[[#This Row],[Start]])*1440)</f>
        <v/>
      </c>
      <c r="M100" s="105" t="str">
        <f>IF(ISBLANK(Term4_Special_Day_2[[#This Row],[Activity]]),"",IF(_xlfn.XLOOKUP(Term4_Special_Day_2[[#This Row],[Activity]],Types_of_Activity[Type of Activity],Types_of_Activity[Classification])=1,Term4_Special_Day_2[[#This Row],[Elapsed]],0))</f>
        <v/>
      </c>
      <c r="N100" s="105" t="str">
        <f>IF(ISBLANK(Term4_Special_Day_2[[#This Row],[Activity]]),"",IF(_xlfn.XLOOKUP(Term4_Special_Day_2[[#This Row],[Activity]],Types_of_Activity[Type of Activity],Types_of_Activity[Classification])=2,Term4_Special_Day_2[[#This Row],[Elapsed]],0))</f>
        <v/>
      </c>
      <c r="O100"/>
      <c r="P100" s="135"/>
      <c r="Q100" s="135"/>
      <c r="R100" s="102"/>
      <c r="S100" s="105" t="str">
        <f>IF(OR(ISBLANK(Term4_Special_Day_3[[#This Row],[Start]]),ISBLANK(Term4_Special_Day_3[[#This Row],[End]])),"",(Term4_Special_Day_3[[#This Row],[End]]-Term4_Special_Day_3[[#This Row],[Start]])*1440)</f>
        <v/>
      </c>
      <c r="T100" s="105" t="str">
        <f>IF(ISBLANK(Term4_Special_Day_3[[#This Row],[Activity]]),"",IF(_xlfn.XLOOKUP(Term4_Special_Day_3[[#This Row],[Activity]],Types_of_Activity[Type of Activity],Types_of_Activity[Classification])=1,Term4_Special_Day_3[[#This Row],[Elapsed]],0))</f>
        <v/>
      </c>
      <c r="U100" s="105" t="str">
        <f>IF(ISBLANK(Term4_Special_Day_3[[#This Row],[Activity]]),"",IF(_xlfn.XLOOKUP(Term4_Special_Day_3[[#This Row],[Activity]],Types_of_Activity[Type of Activity],Types_of_Activity[Classification])=2,Term4_Special_Day_3[[#This Row],[Elapsed]],0))</f>
        <v/>
      </c>
      <c r="V100" s="105"/>
    </row>
    <row r="101" spans="2:22" x14ac:dyDescent="0.3">
      <c r="B101" s="135"/>
      <c r="C101" s="135"/>
      <c r="D101" s="102"/>
      <c r="E101" s="105" t="str">
        <f>IF(OR(ISBLANK(Term4_Special_Day_1[[#This Row],[Start]]),ISBLANK(Term4_Special_Day_1[[#This Row],[End]])),"",(Term4_Special_Day_1[[#This Row],[End]]-Term4_Special_Day_1[[#This Row],[Start]])*1440)</f>
        <v/>
      </c>
      <c r="F101" s="105" t="str">
        <f>IF(ISBLANK(Term4_Special_Day_1[[#This Row],[Activity]]),"",IF(_xlfn.XLOOKUP(Term4_Special_Day_1[[#This Row],[Activity]],Types_of_Activity[Type of Activity],Types_of_Activity[Classification])=1,Term4_Special_Day_1[[#This Row],[Elapsed]],0))</f>
        <v/>
      </c>
      <c r="G101" s="105" t="str">
        <f>IF(ISBLANK(Term4_Special_Day_1[[#This Row],[Activity]]),"",IF(_xlfn.XLOOKUP(Term4_Special_Day_1[[#This Row],[Activity]],Types_of_Activity[Type of Activity],Types_of_Activity[Classification])=2,Term4_Special_Day_1[[#This Row],[Elapsed]],0))</f>
        <v/>
      </c>
      <c r="H101"/>
      <c r="I101" s="135"/>
      <c r="J101" s="135"/>
      <c r="K101" s="102"/>
      <c r="L101" s="105" t="str">
        <f>IF(OR(ISBLANK(Term4_Special_Day_2[[#This Row],[Start]]),ISBLANK(Term4_Special_Day_2[[#This Row],[End]])),"",(Term4_Special_Day_2[[#This Row],[End]]-Term4_Special_Day_2[[#This Row],[Start]])*1440)</f>
        <v/>
      </c>
      <c r="M101" s="105" t="str">
        <f>IF(ISBLANK(Term4_Special_Day_2[[#This Row],[Activity]]),"",IF(_xlfn.XLOOKUP(Term4_Special_Day_2[[#This Row],[Activity]],Types_of_Activity[Type of Activity],Types_of_Activity[Classification])=1,Term4_Special_Day_2[[#This Row],[Elapsed]],0))</f>
        <v/>
      </c>
      <c r="N101" s="105" t="str">
        <f>IF(ISBLANK(Term4_Special_Day_2[[#This Row],[Activity]]),"",IF(_xlfn.XLOOKUP(Term4_Special_Day_2[[#This Row],[Activity]],Types_of_Activity[Type of Activity],Types_of_Activity[Classification])=2,Term4_Special_Day_2[[#This Row],[Elapsed]],0))</f>
        <v/>
      </c>
      <c r="O101"/>
      <c r="P101" s="135"/>
      <c r="Q101" s="135"/>
      <c r="R101" s="102"/>
      <c r="S101" s="105" t="str">
        <f>IF(OR(ISBLANK(Term4_Special_Day_3[[#This Row],[Start]]),ISBLANK(Term4_Special_Day_3[[#This Row],[End]])),"",(Term4_Special_Day_3[[#This Row],[End]]-Term4_Special_Day_3[[#This Row],[Start]])*1440)</f>
        <v/>
      </c>
      <c r="T101" s="105" t="str">
        <f>IF(ISBLANK(Term4_Special_Day_3[[#This Row],[Activity]]),"",IF(_xlfn.XLOOKUP(Term4_Special_Day_3[[#This Row],[Activity]],Types_of_Activity[Type of Activity],Types_of_Activity[Classification])=1,Term4_Special_Day_3[[#This Row],[Elapsed]],0))</f>
        <v/>
      </c>
      <c r="U101" s="105" t="str">
        <f>IF(ISBLANK(Term4_Special_Day_3[[#This Row],[Activity]]),"",IF(_xlfn.XLOOKUP(Term4_Special_Day_3[[#This Row],[Activity]],Types_of_Activity[Type of Activity],Types_of_Activity[Classification])=2,Term4_Special_Day_3[[#This Row],[Elapsed]],0))</f>
        <v/>
      </c>
      <c r="V101" s="105"/>
    </row>
    <row r="102" spans="2:22" x14ac:dyDescent="0.3">
      <c r="B102" s="135"/>
      <c r="C102" s="135"/>
      <c r="D102" s="102"/>
      <c r="E102" s="105" t="str">
        <f>IF(OR(ISBLANK(Term4_Special_Day_1[[#This Row],[Start]]),ISBLANK(Term4_Special_Day_1[[#This Row],[End]])),"",(Term4_Special_Day_1[[#This Row],[End]]-Term4_Special_Day_1[[#This Row],[Start]])*1440)</f>
        <v/>
      </c>
      <c r="F102" s="105" t="str">
        <f>IF(ISBLANK(Term4_Special_Day_1[[#This Row],[Activity]]),"",IF(_xlfn.XLOOKUP(Term4_Special_Day_1[[#This Row],[Activity]],Types_of_Activity[Type of Activity],Types_of_Activity[Classification])=1,Term4_Special_Day_1[[#This Row],[Elapsed]],0))</f>
        <v/>
      </c>
      <c r="G102" s="105" t="str">
        <f>IF(ISBLANK(Term4_Special_Day_1[[#This Row],[Activity]]),"",IF(_xlfn.XLOOKUP(Term4_Special_Day_1[[#This Row],[Activity]],Types_of_Activity[Type of Activity],Types_of_Activity[Classification])=2,Term4_Special_Day_1[[#This Row],[Elapsed]],0))</f>
        <v/>
      </c>
      <c r="H102"/>
      <c r="I102" s="135"/>
      <c r="J102" s="135"/>
      <c r="K102" s="102"/>
      <c r="L102" s="105" t="str">
        <f>IF(OR(ISBLANK(Term4_Special_Day_2[[#This Row],[Start]]),ISBLANK(Term4_Special_Day_2[[#This Row],[End]])),"",(Term4_Special_Day_2[[#This Row],[End]]-Term4_Special_Day_2[[#This Row],[Start]])*1440)</f>
        <v/>
      </c>
      <c r="M102" s="105" t="str">
        <f>IF(ISBLANK(Term4_Special_Day_2[[#This Row],[Activity]]),"",IF(_xlfn.XLOOKUP(Term4_Special_Day_2[[#This Row],[Activity]],Types_of_Activity[Type of Activity],Types_of_Activity[Classification])=1,Term4_Special_Day_2[[#This Row],[Elapsed]],0))</f>
        <v/>
      </c>
      <c r="N102" s="105" t="str">
        <f>IF(ISBLANK(Term4_Special_Day_2[[#This Row],[Activity]]),"",IF(_xlfn.XLOOKUP(Term4_Special_Day_2[[#This Row],[Activity]],Types_of_Activity[Type of Activity],Types_of_Activity[Classification])=2,Term4_Special_Day_2[[#This Row],[Elapsed]],0))</f>
        <v/>
      </c>
      <c r="O102"/>
      <c r="P102" s="135"/>
      <c r="Q102" s="135"/>
      <c r="R102" s="102"/>
      <c r="S102" s="105" t="str">
        <f>IF(OR(ISBLANK(Term4_Special_Day_3[[#This Row],[Start]]),ISBLANK(Term4_Special_Day_3[[#This Row],[End]])),"",(Term4_Special_Day_3[[#This Row],[End]]-Term4_Special_Day_3[[#This Row],[Start]])*1440)</f>
        <v/>
      </c>
      <c r="T102" s="105" t="str">
        <f>IF(ISBLANK(Term4_Special_Day_3[[#This Row],[Activity]]),"",IF(_xlfn.XLOOKUP(Term4_Special_Day_3[[#This Row],[Activity]],Types_of_Activity[Type of Activity],Types_of_Activity[Classification])=1,Term4_Special_Day_3[[#This Row],[Elapsed]],0))</f>
        <v/>
      </c>
      <c r="U102" s="105" t="str">
        <f>IF(ISBLANK(Term4_Special_Day_3[[#This Row],[Activity]]),"",IF(_xlfn.XLOOKUP(Term4_Special_Day_3[[#This Row],[Activity]],Types_of_Activity[Type of Activity],Types_of_Activity[Classification])=2,Term4_Special_Day_3[[#This Row],[Elapsed]],0))</f>
        <v/>
      </c>
      <c r="V102" s="105"/>
    </row>
    <row r="103" spans="2:22" x14ac:dyDescent="0.3">
      <c r="B103" s="135"/>
      <c r="C103" s="135"/>
      <c r="D103" s="102"/>
      <c r="E103" s="105" t="str">
        <f>IF(OR(ISBLANK(Term4_Special_Day_1[[#This Row],[Start]]),ISBLANK(Term4_Special_Day_1[[#This Row],[End]])),"",(Term4_Special_Day_1[[#This Row],[End]]-Term4_Special_Day_1[[#This Row],[Start]])*1440)</f>
        <v/>
      </c>
      <c r="F103" s="105" t="str">
        <f>IF(ISBLANK(Term4_Special_Day_1[[#This Row],[Activity]]),"",IF(_xlfn.XLOOKUP(Term4_Special_Day_1[[#This Row],[Activity]],Types_of_Activity[Type of Activity],Types_of_Activity[Classification])=1,Term4_Special_Day_1[[#This Row],[Elapsed]],0))</f>
        <v/>
      </c>
      <c r="G103" s="105" t="str">
        <f>IF(ISBLANK(Term4_Special_Day_1[[#This Row],[Activity]]),"",IF(_xlfn.XLOOKUP(Term4_Special_Day_1[[#This Row],[Activity]],Types_of_Activity[Type of Activity],Types_of_Activity[Classification])=2,Term4_Special_Day_1[[#This Row],[Elapsed]],0))</f>
        <v/>
      </c>
      <c r="H103"/>
      <c r="I103" s="135"/>
      <c r="J103" s="135"/>
      <c r="K103" s="102"/>
      <c r="L103" s="105" t="str">
        <f>IF(OR(ISBLANK(Term4_Special_Day_2[[#This Row],[Start]]),ISBLANK(Term4_Special_Day_2[[#This Row],[End]])),"",(Term4_Special_Day_2[[#This Row],[End]]-Term4_Special_Day_2[[#This Row],[Start]])*1440)</f>
        <v/>
      </c>
      <c r="M103" s="105" t="str">
        <f>IF(ISBLANK(Term4_Special_Day_2[[#This Row],[Activity]]),"",IF(_xlfn.XLOOKUP(Term4_Special_Day_2[[#This Row],[Activity]],Types_of_Activity[Type of Activity],Types_of_Activity[Classification])=1,Term4_Special_Day_2[[#This Row],[Elapsed]],0))</f>
        <v/>
      </c>
      <c r="N103" s="105" t="str">
        <f>IF(ISBLANK(Term4_Special_Day_2[[#This Row],[Activity]]),"",IF(_xlfn.XLOOKUP(Term4_Special_Day_2[[#This Row],[Activity]],Types_of_Activity[Type of Activity],Types_of_Activity[Classification])=2,Term4_Special_Day_2[[#This Row],[Elapsed]],0))</f>
        <v/>
      </c>
      <c r="O103"/>
      <c r="P103" s="135"/>
      <c r="Q103" s="135"/>
      <c r="R103" s="102"/>
      <c r="S103" s="105" t="str">
        <f>IF(OR(ISBLANK(Term4_Special_Day_3[[#This Row],[Start]]),ISBLANK(Term4_Special_Day_3[[#This Row],[End]])),"",(Term4_Special_Day_3[[#This Row],[End]]-Term4_Special_Day_3[[#This Row],[Start]])*1440)</f>
        <v/>
      </c>
      <c r="T103" s="105" t="str">
        <f>IF(ISBLANK(Term4_Special_Day_3[[#This Row],[Activity]]),"",IF(_xlfn.XLOOKUP(Term4_Special_Day_3[[#This Row],[Activity]],Types_of_Activity[Type of Activity],Types_of_Activity[Classification])=1,Term4_Special_Day_3[[#This Row],[Elapsed]],0))</f>
        <v/>
      </c>
      <c r="U103" s="105" t="str">
        <f>IF(ISBLANK(Term4_Special_Day_3[[#This Row],[Activity]]),"",IF(_xlfn.XLOOKUP(Term4_Special_Day_3[[#This Row],[Activity]],Types_of_Activity[Type of Activity],Types_of_Activity[Classification])=2,Term4_Special_Day_3[[#This Row],[Elapsed]],0))</f>
        <v/>
      </c>
      <c r="V103" s="105"/>
    </row>
    <row r="104" spans="2:22" x14ac:dyDescent="0.3">
      <c r="B104" s="135"/>
      <c r="C104" s="135"/>
      <c r="D104" s="102"/>
      <c r="E104" s="105" t="str">
        <f>IF(OR(ISBLANK(Term4_Special_Day_1[[#This Row],[Start]]),ISBLANK(Term4_Special_Day_1[[#This Row],[End]])),"",(Term4_Special_Day_1[[#This Row],[End]]-Term4_Special_Day_1[[#This Row],[Start]])*1440)</f>
        <v/>
      </c>
      <c r="F104" s="105" t="str">
        <f>IF(ISBLANK(Term4_Special_Day_1[[#This Row],[Activity]]),"",IF(_xlfn.XLOOKUP(Term4_Special_Day_1[[#This Row],[Activity]],Types_of_Activity[Type of Activity],Types_of_Activity[Classification])=1,Term4_Special_Day_1[[#This Row],[Elapsed]],0))</f>
        <v/>
      </c>
      <c r="G104" s="105" t="str">
        <f>IF(ISBLANK(Term4_Special_Day_1[[#This Row],[Activity]]),"",IF(_xlfn.XLOOKUP(Term4_Special_Day_1[[#This Row],[Activity]],Types_of_Activity[Type of Activity],Types_of_Activity[Classification])=2,Term4_Special_Day_1[[#This Row],[Elapsed]],0))</f>
        <v/>
      </c>
      <c r="H104"/>
      <c r="I104" s="135"/>
      <c r="J104" s="135"/>
      <c r="K104" s="102"/>
      <c r="L104" s="105" t="str">
        <f>IF(OR(ISBLANK(Term4_Special_Day_2[[#This Row],[Start]]),ISBLANK(Term4_Special_Day_2[[#This Row],[End]])),"",(Term4_Special_Day_2[[#This Row],[End]]-Term4_Special_Day_2[[#This Row],[Start]])*1440)</f>
        <v/>
      </c>
      <c r="M104" s="105" t="str">
        <f>IF(ISBLANK(Term4_Special_Day_2[[#This Row],[Activity]]),"",IF(_xlfn.XLOOKUP(Term4_Special_Day_2[[#This Row],[Activity]],Types_of_Activity[Type of Activity],Types_of_Activity[Classification])=1,Term4_Special_Day_2[[#This Row],[Elapsed]],0))</f>
        <v/>
      </c>
      <c r="N104" s="105" t="str">
        <f>IF(ISBLANK(Term4_Special_Day_2[[#This Row],[Activity]]),"",IF(_xlfn.XLOOKUP(Term4_Special_Day_2[[#This Row],[Activity]],Types_of_Activity[Type of Activity],Types_of_Activity[Classification])=2,Term4_Special_Day_2[[#This Row],[Elapsed]],0))</f>
        <v/>
      </c>
      <c r="O104"/>
      <c r="P104" s="135"/>
      <c r="Q104" s="135"/>
      <c r="R104" s="102"/>
      <c r="S104" s="105" t="str">
        <f>IF(OR(ISBLANK(Term4_Special_Day_3[[#This Row],[Start]]),ISBLANK(Term4_Special_Day_3[[#This Row],[End]])),"",(Term4_Special_Day_3[[#This Row],[End]]-Term4_Special_Day_3[[#This Row],[Start]])*1440)</f>
        <v/>
      </c>
      <c r="T104" s="105" t="str">
        <f>IF(ISBLANK(Term4_Special_Day_3[[#This Row],[Activity]]),"",IF(_xlfn.XLOOKUP(Term4_Special_Day_3[[#This Row],[Activity]],Types_of_Activity[Type of Activity],Types_of_Activity[Classification])=1,Term4_Special_Day_3[[#This Row],[Elapsed]],0))</f>
        <v/>
      </c>
      <c r="U104" s="105" t="str">
        <f>IF(ISBLANK(Term4_Special_Day_3[[#This Row],[Activity]]),"",IF(_xlfn.XLOOKUP(Term4_Special_Day_3[[#This Row],[Activity]],Types_of_Activity[Type of Activity],Types_of_Activity[Classification])=2,Term4_Special_Day_3[[#This Row],[Elapsed]],0))</f>
        <v/>
      </c>
      <c r="V104" s="105"/>
    </row>
    <row r="105" spans="2:22" x14ac:dyDescent="0.3">
      <c r="B105" s="135"/>
      <c r="C105" s="135"/>
      <c r="D105" s="102"/>
      <c r="E105" s="105" t="str">
        <f>IF(OR(ISBLANK(Term4_Special_Day_1[[#This Row],[Start]]),ISBLANK(Term4_Special_Day_1[[#This Row],[End]])),"",(Term4_Special_Day_1[[#This Row],[End]]-Term4_Special_Day_1[[#This Row],[Start]])*1440)</f>
        <v/>
      </c>
      <c r="F105" s="105" t="str">
        <f>IF(ISBLANK(Term4_Special_Day_1[[#This Row],[Activity]]),"",IF(_xlfn.XLOOKUP(Term4_Special_Day_1[[#This Row],[Activity]],Types_of_Activity[Type of Activity],Types_of_Activity[Classification])=1,Term4_Special_Day_1[[#This Row],[Elapsed]],0))</f>
        <v/>
      </c>
      <c r="G105" s="105" t="str">
        <f>IF(ISBLANK(Term4_Special_Day_1[[#This Row],[Activity]]),"",IF(_xlfn.XLOOKUP(Term4_Special_Day_1[[#This Row],[Activity]],Types_of_Activity[Type of Activity],Types_of_Activity[Classification])=2,Term4_Special_Day_1[[#This Row],[Elapsed]],0))</f>
        <v/>
      </c>
      <c r="H105"/>
      <c r="I105" s="135"/>
      <c r="J105" s="135"/>
      <c r="K105" s="102"/>
      <c r="L105" s="105" t="str">
        <f>IF(OR(ISBLANK(Term4_Special_Day_2[[#This Row],[Start]]),ISBLANK(Term4_Special_Day_2[[#This Row],[End]])),"",(Term4_Special_Day_2[[#This Row],[End]]-Term4_Special_Day_2[[#This Row],[Start]])*1440)</f>
        <v/>
      </c>
      <c r="M105" s="105" t="str">
        <f>IF(ISBLANK(Term4_Special_Day_2[[#This Row],[Activity]]),"",IF(_xlfn.XLOOKUP(Term4_Special_Day_2[[#This Row],[Activity]],Types_of_Activity[Type of Activity],Types_of_Activity[Classification])=1,Term4_Special_Day_2[[#This Row],[Elapsed]],0))</f>
        <v/>
      </c>
      <c r="N105" s="105" t="str">
        <f>IF(ISBLANK(Term4_Special_Day_2[[#This Row],[Activity]]),"",IF(_xlfn.XLOOKUP(Term4_Special_Day_2[[#This Row],[Activity]],Types_of_Activity[Type of Activity],Types_of_Activity[Classification])=2,Term4_Special_Day_2[[#This Row],[Elapsed]],0))</f>
        <v/>
      </c>
      <c r="O105"/>
      <c r="P105" s="135"/>
      <c r="Q105" s="135"/>
      <c r="R105" s="102"/>
      <c r="S105" s="105" t="str">
        <f>IF(OR(ISBLANK(Term4_Special_Day_3[[#This Row],[Start]]),ISBLANK(Term4_Special_Day_3[[#This Row],[End]])),"",(Term4_Special_Day_3[[#This Row],[End]]-Term4_Special_Day_3[[#This Row],[Start]])*1440)</f>
        <v/>
      </c>
      <c r="T105" s="105" t="str">
        <f>IF(ISBLANK(Term4_Special_Day_3[[#This Row],[Activity]]),"",IF(_xlfn.XLOOKUP(Term4_Special_Day_3[[#This Row],[Activity]],Types_of_Activity[Type of Activity],Types_of_Activity[Classification])=1,Term4_Special_Day_3[[#This Row],[Elapsed]],0))</f>
        <v/>
      </c>
      <c r="U105" s="105" t="str">
        <f>IF(ISBLANK(Term4_Special_Day_3[[#This Row],[Activity]]),"",IF(_xlfn.XLOOKUP(Term4_Special_Day_3[[#This Row],[Activity]],Types_of_Activity[Type of Activity],Types_of_Activity[Classification])=2,Term4_Special_Day_3[[#This Row],[Elapsed]],0))</f>
        <v/>
      </c>
      <c r="V105" s="105"/>
    </row>
    <row r="106" spans="2:22" x14ac:dyDescent="0.3">
      <c r="B106" s="135"/>
      <c r="C106" s="135"/>
      <c r="D106" s="102"/>
      <c r="E106" s="105" t="str">
        <f>IF(OR(ISBLANK(Term4_Special_Day_1[[#This Row],[Start]]),ISBLANK(Term4_Special_Day_1[[#This Row],[End]])),"",(Term4_Special_Day_1[[#This Row],[End]]-Term4_Special_Day_1[[#This Row],[Start]])*1440)</f>
        <v/>
      </c>
      <c r="F106" s="105" t="str">
        <f>IF(ISBLANK(Term4_Special_Day_1[[#This Row],[Activity]]),"",IF(_xlfn.XLOOKUP(Term4_Special_Day_1[[#This Row],[Activity]],Types_of_Activity[Type of Activity],Types_of_Activity[Classification])=1,Term4_Special_Day_1[[#This Row],[Elapsed]],0))</f>
        <v/>
      </c>
      <c r="G106" s="105" t="str">
        <f>IF(ISBLANK(Term4_Special_Day_1[[#This Row],[Activity]]),"",IF(_xlfn.XLOOKUP(Term4_Special_Day_1[[#This Row],[Activity]],Types_of_Activity[Type of Activity],Types_of_Activity[Classification])=2,Term4_Special_Day_1[[#This Row],[Elapsed]],0))</f>
        <v/>
      </c>
      <c r="H106"/>
      <c r="I106" s="135"/>
      <c r="J106" s="135"/>
      <c r="K106" s="102"/>
      <c r="L106" s="105" t="str">
        <f>IF(OR(ISBLANK(Term4_Special_Day_2[[#This Row],[Start]]),ISBLANK(Term4_Special_Day_2[[#This Row],[End]])),"",(Term4_Special_Day_2[[#This Row],[End]]-Term4_Special_Day_2[[#This Row],[Start]])*1440)</f>
        <v/>
      </c>
      <c r="M106" s="105" t="str">
        <f>IF(ISBLANK(Term4_Special_Day_2[[#This Row],[Activity]]),"",IF(_xlfn.XLOOKUP(Term4_Special_Day_2[[#This Row],[Activity]],Types_of_Activity[Type of Activity],Types_of_Activity[Classification])=1,Term4_Special_Day_2[[#This Row],[Elapsed]],0))</f>
        <v/>
      </c>
      <c r="N106" s="105" t="str">
        <f>IF(ISBLANK(Term4_Special_Day_2[[#This Row],[Activity]]),"",IF(_xlfn.XLOOKUP(Term4_Special_Day_2[[#This Row],[Activity]],Types_of_Activity[Type of Activity],Types_of_Activity[Classification])=2,Term4_Special_Day_2[[#This Row],[Elapsed]],0))</f>
        <v/>
      </c>
      <c r="O106"/>
      <c r="P106" s="135"/>
      <c r="Q106" s="135"/>
      <c r="R106" s="102"/>
      <c r="S106" s="105" t="str">
        <f>IF(OR(ISBLANK(Term4_Special_Day_3[[#This Row],[Start]]),ISBLANK(Term4_Special_Day_3[[#This Row],[End]])),"",(Term4_Special_Day_3[[#This Row],[End]]-Term4_Special_Day_3[[#This Row],[Start]])*1440)</f>
        <v/>
      </c>
      <c r="T106" s="105" t="str">
        <f>IF(ISBLANK(Term4_Special_Day_3[[#This Row],[Activity]]),"",IF(_xlfn.XLOOKUP(Term4_Special_Day_3[[#This Row],[Activity]],Types_of_Activity[Type of Activity],Types_of_Activity[Classification])=1,Term4_Special_Day_3[[#This Row],[Elapsed]],0))</f>
        <v/>
      </c>
      <c r="U106" s="105" t="str">
        <f>IF(ISBLANK(Term4_Special_Day_3[[#This Row],[Activity]]),"",IF(_xlfn.XLOOKUP(Term4_Special_Day_3[[#This Row],[Activity]],Types_of_Activity[Type of Activity],Types_of_Activity[Classification])=2,Term4_Special_Day_3[[#This Row],[Elapsed]],0))</f>
        <v/>
      </c>
      <c r="V106" s="105"/>
    </row>
    <row r="107" spans="2:22" x14ac:dyDescent="0.3">
      <c r="B107" s="135"/>
      <c r="C107" s="135"/>
      <c r="D107" s="102"/>
      <c r="E107" s="105" t="str">
        <f>IF(OR(ISBLANK(Term4_Special_Day_1[[#This Row],[Start]]),ISBLANK(Term4_Special_Day_1[[#This Row],[End]])),"",(Term4_Special_Day_1[[#This Row],[End]]-Term4_Special_Day_1[[#This Row],[Start]])*1440)</f>
        <v/>
      </c>
      <c r="F107" s="105" t="str">
        <f>IF(ISBLANK(Term4_Special_Day_1[[#This Row],[Activity]]),"",IF(_xlfn.XLOOKUP(Term4_Special_Day_1[[#This Row],[Activity]],Types_of_Activity[Type of Activity],Types_of_Activity[Classification])=1,Term4_Special_Day_1[[#This Row],[Elapsed]],0))</f>
        <v/>
      </c>
      <c r="G107" s="105" t="str">
        <f>IF(ISBLANK(Term4_Special_Day_1[[#This Row],[Activity]]),"",IF(_xlfn.XLOOKUP(Term4_Special_Day_1[[#This Row],[Activity]],Types_of_Activity[Type of Activity],Types_of_Activity[Classification])=2,Term4_Special_Day_1[[#This Row],[Elapsed]],0))</f>
        <v/>
      </c>
      <c r="H107"/>
      <c r="I107" s="135"/>
      <c r="J107" s="135"/>
      <c r="K107" s="102"/>
      <c r="L107" s="105" t="str">
        <f>IF(OR(ISBLANK(Term4_Special_Day_2[[#This Row],[Start]]),ISBLANK(Term4_Special_Day_2[[#This Row],[End]])),"",(Term4_Special_Day_2[[#This Row],[End]]-Term4_Special_Day_2[[#This Row],[Start]])*1440)</f>
        <v/>
      </c>
      <c r="M107" s="105" t="str">
        <f>IF(ISBLANK(Term4_Special_Day_2[[#This Row],[Activity]]),"",IF(_xlfn.XLOOKUP(Term4_Special_Day_2[[#This Row],[Activity]],Types_of_Activity[Type of Activity],Types_of_Activity[Classification])=1,Term4_Special_Day_2[[#This Row],[Elapsed]],0))</f>
        <v/>
      </c>
      <c r="N107" s="105" t="str">
        <f>IF(ISBLANK(Term4_Special_Day_2[[#This Row],[Activity]]),"",IF(_xlfn.XLOOKUP(Term4_Special_Day_2[[#This Row],[Activity]],Types_of_Activity[Type of Activity],Types_of_Activity[Classification])=2,Term4_Special_Day_2[[#This Row],[Elapsed]],0))</f>
        <v/>
      </c>
      <c r="O107"/>
      <c r="P107" s="135"/>
      <c r="Q107" s="135"/>
      <c r="R107" s="102"/>
      <c r="S107" s="105" t="str">
        <f>IF(OR(ISBLANK(Term4_Special_Day_3[[#This Row],[Start]]),ISBLANK(Term4_Special_Day_3[[#This Row],[End]])),"",(Term4_Special_Day_3[[#This Row],[End]]-Term4_Special_Day_3[[#This Row],[Start]])*1440)</f>
        <v/>
      </c>
      <c r="T107" s="105" t="str">
        <f>IF(ISBLANK(Term4_Special_Day_3[[#This Row],[Activity]]),"",IF(_xlfn.XLOOKUP(Term4_Special_Day_3[[#This Row],[Activity]],Types_of_Activity[Type of Activity],Types_of_Activity[Classification])=1,Term4_Special_Day_3[[#This Row],[Elapsed]],0))</f>
        <v/>
      </c>
      <c r="U107" s="105" t="str">
        <f>IF(ISBLANK(Term4_Special_Day_3[[#This Row],[Activity]]),"",IF(_xlfn.XLOOKUP(Term4_Special_Day_3[[#This Row],[Activity]],Types_of_Activity[Type of Activity],Types_of_Activity[Classification])=2,Term4_Special_Day_3[[#This Row],[Elapsed]],0))</f>
        <v/>
      </c>
      <c r="V107" s="105"/>
    </row>
    <row r="108" spans="2:22" x14ac:dyDescent="0.3">
      <c r="B108" s="135"/>
      <c r="C108" s="135"/>
      <c r="D108" s="102"/>
      <c r="E108" s="105" t="str">
        <f>IF(OR(ISBLANK(Term4_Special_Day_1[[#This Row],[Start]]),ISBLANK(Term4_Special_Day_1[[#This Row],[End]])),"",(Term4_Special_Day_1[[#This Row],[End]]-Term4_Special_Day_1[[#This Row],[Start]])*1440)</f>
        <v/>
      </c>
      <c r="F108" s="105" t="str">
        <f>IF(ISBLANK(Term4_Special_Day_1[[#This Row],[Activity]]),"",IF(_xlfn.XLOOKUP(Term4_Special_Day_1[[#This Row],[Activity]],Types_of_Activity[Type of Activity],Types_of_Activity[Classification])=1,Term4_Special_Day_1[[#This Row],[Elapsed]],0))</f>
        <v/>
      </c>
      <c r="G108" s="105" t="str">
        <f>IF(ISBLANK(Term4_Special_Day_1[[#This Row],[Activity]]),"",IF(_xlfn.XLOOKUP(Term4_Special_Day_1[[#This Row],[Activity]],Types_of_Activity[Type of Activity],Types_of_Activity[Classification])=2,Term4_Special_Day_1[[#This Row],[Elapsed]],0))</f>
        <v/>
      </c>
      <c r="H108"/>
      <c r="I108" s="135"/>
      <c r="J108" s="135"/>
      <c r="K108" s="102"/>
      <c r="L108" s="105" t="str">
        <f>IF(OR(ISBLANK(Term4_Special_Day_2[[#This Row],[Start]]),ISBLANK(Term4_Special_Day_2[[#This Row],[End]])),"",(Term4_Special_Day_2[[#This Row],[End]]-Term4_Special_Day_2[[#This Row],[Start]])*1440)</f>
        <v/>
      </c>
      <c r="M108" s="105" t="str">
        <f>IF(ISBLANK(Term4_Special_Day_2[[#This Row],[Activity]]),"",IF(_xlfn.XLOOKUP(Term4_Special_Day_2[[#This Row],[Activity]],Types_of_Activity[Type of Activity],Types_of_Activity[Classification])=1,Term4_Special_Day_2[[#This Row],[Elapsed]],0))</f>
        <v/>
      </c>
      <c r="N108" s="105" t="str">
        <f>IF(ISBLANK(Term4_Special_Day_2[[#This Row],[Activity]]),"",IF(_xlfn.XLOOKUP(Term4_Special_Day_2[[#This Row],[Activity]],Types_of_Activity[Type of Activity],Types_of_Activity[Classification])=2,Term4_Special_Day_2[[#This Row],[Elapsed]],0))</f>
        <v/>
      </c>
      <c r="O108"/>
      <c r="P108" s="135"/>
      <c r="Q108" s="135"/>
      <c r="R108" s="102"/>
      <c r="S108" s="105" t="str">
        <f>IF(OR(ISBLANK(Term4_Special_Day_3[[#This Row],[Start]]),ISBLANK(Term4_Special_Day_3[[#This Row],[End]])),"",(Term4_Special_Day_3[[#This Row],[End]]-Term4_Special_Day_3[[#This Row],[Start]])*1440)</f>
        <v/>
      </c>
      <c r="T108" s="105" t="str">
        <f>IF(ISBLANK(Term4_Special_Day_3[[#This Row],[Activity]]),"",IF(_xlfn.XLOOKUP(Term4_Special_Day_3[[#This Row],[Activity]],Types_of_Activity[Type of Activity],Types_of_Activity[Classification])=1,Term4_Special_Day_3[[#This Row],[Elapsed]],0))</f>
        <v/>
      </c>
      <c r="U108" s="105" t="str">
        <f>IF(ISBLANK(Term4_Special_Day_3[[#This Row],[Activity]]),"",IF(_xlfn.XLOOKUP(Term4_Special_Day_3[[#This Row],[Activity]],Types_of_Activity[Type of Activity],Types_of_Activity[Classification])=2,Term4_Special_Day_3[[#This Row],[Elapsed]],0))</f>
        <v/>
      </c>
      <c r="V108" s="105"/>
    </row>
    <row r="109" spans="2:22" x14ac:dyDescent="0.3">
      <c r="B109" s="135"/>
      <c r="C109" s="135"/>
      <c r="D109" s="102"/>
      <c r="E109" s="105" t="str">
        <f>IF(OR(ISBLANK(Term4_Special_Day_1[[#This Row],[Start]]),ISBLANK(Term4_Special_Day_1[[#This Row],[End]])),"",(Term4_Special_Day_1[[#This Row],[End]]-Term4_Special_Day_1[[#This Row],[Start]])*1440)</f>
        <v/>
      </c>
      <c r="F109" s="105" t="str">
        <f>IF(ISBLANK(Term4_Special_Day_1[[#This Row],[Activity]]),"",IF(_xlfn.XLOOKUP(Term4_Special_Day_1[[#This Row],[Activity]],Types_of_Activity[Type of Activity],Types_of_Activity[Classification])=1,Term4_Special_Day_1[[#This Row],[Elapsed]],0))</f>
        <v/>
      </c>
      <c r="G109" s="105" t="str">
        <f>IF(ISBLANK(Term4_Special_Day_1[[#This Row],[Activity]]),"",IF(_xlfn.XLOOKUP(Term4_Special_Day_1[[#This Row],[Activity]],Types_of_Activity[Type of Activity],Types_of_Activity[Classification])=2,Term4_Special_Day_1[[#This Row],[Elapsed]],0))</f>
        <v/>
      </c>
      <c r="H109"/>
      <c r="I109" s="135"/>
      <c r="J109" s="135"/>
      <c r="K109" s="102"/>
      <c r="L109" s="105" t="str">
        <f>IF(OR(ISBLANK(Term4_Special_Day_2[[#This Row],[Start]]),ISBLANK(Term4_Special_Day_2[[#This Row],[End]])),"",(Term4_Special_Day_2[[#This Row],[End]]-Term4_Special_Day_2[[#This Row],[Start]])*1440)</f>
        <v/>
      </c>
      <c r="M109" s="105" t="str">
        <f>IF(ISBLANK(Term4_Special_Day_2[[#This Row],[Activity]]),"",IF(_xlfn.XLOOKUP(Term4_Special_Day_2[[#This Row],[Activity]],Types_of_Activity[Type of Activity],Types_of_Activity[Classification])=1,Term4_Special_Day_2[[#This Row],[Elapsed]],0))</f>
        <v/>
      </c>
      <c r="N109" s="105" t="str">
        <f>IF(ISBLANK(Term4_Special_Day_2[[#This Row],[Activity]]),"",IF(_xlfn.XLOOKUP(Term4_Special_Day_2[[#This Row],[Activity]],Types_of_Activity[Type of Activity],Types_of_Activity[Classification])=2,Term4_Special_Day_2[[#This Row],[Elapsed]],0))</f>
        <v/>
      </c>
      <c r="O109"/>
      <c r="P109" s="135"/>
      <c r="Q109" s="135"/>
      <c r="R109" s="102"/>
      <c r="S109" s="105" t="str">
        <f>IF(OR(ISBLANK(Term4_Special_Day_3[[#This Row],[Start]]),ISBLANK(Term4_Special_Day_3[[#This Row],[End]])),"",(Term4_Special_Day_3[[#This Row],[End]]-Term4_Special_Day_3[[#This Row],[Start]])*1440)</f>
        <v/>
      </c>
      <c r="T109" s="105" t="str">
        <f>IF(ISBLANK(Term4_Special_Day_3[[#This Row],[Activity]]),"",IF(_xlfn.XLOOKUP(Term4_Special_Day_3[[#This Row],[Activity]],Types_of_Activity[Type of Activity],Types_of_Activity[Classification])=1,Term4_Special_Day_3[[#This Row],[Elapsed]],0))</f>
        <v/>
      </c>
      <c r="U109" s="105" t="str">
        <f>IF(ISBLANK(Term4_Special_Day_3[[#This Row],[Activity]]),"",IF(_xlfn.XLOOKUP(Term4_Special_Day_3[[#This Row],[Activity]],Types_of_Activity[Type of Activity],Types_of_Activity[Classification])=2,Term4_Special_Day_3[[#This Row],[Elapsed]],0))</f>
        <v/>
      </c>
      <c r="V109" s="105"/>
    </row>
    <row r="110" spans="2:22" x14ac:dyDescent="0.3">
      <c r="B110" s="135"/>
      <c r="C110" s="135"/>
      <c r="D110" s="102"/>
      <c r="E110" s="105" t="str">
        <f>IF(OR(ISBLANK(Term4_Special_Day_1[[#This Row],[Start]]),ISBLANK(Term4_Special_Day_1[[#This Row],[End]])),"",(Term4_Special_Day_1[[#This Row],[End]]-Term4_Special_Day_1[[#This Row],[Start]])*1440)</f>
        <v/>
      </c>
      <c r="F110" s="105" t="str">
        <f>IF(ISBLANK(Term4_Special_Day_1[[#This Row],[Activity]]),"",IF(_xlfn.XLOOKUP(Term4_Special_Day_1[[#This Row],[Activity]],Types_of_Activity[Type of Activity],Types_of_Activity[Classification])=1,Term4_Special_Day_1[[#This Row],[Elapsed]],0))</f>
        <v/>
      </c>
      <c r="G110" s="105" t="str">
        <f>IF(ISBLANK(Term4_Special_Day_1[[#This Row],[Activity]]),"",IF(_xlfn.XLOOKUP(Term4_Special_Day_1[[#This Row],[Activity]],Types_of_Activity[Type of Activity],Types_of_Activity[Classification])=2,Term4_Special_Day_1[[#This Row],[Elapsed]],0))</f>
        <v/>
      </c>
      <c r="H110"/>
      <c r="I110" s="135"/>
      <c r="J110" s="135"/>
      <c r="K110" s="102"/>
      <c r="L110" s="105" t="str">
        <f>IF(OR(ISBLANK(Term4_Special_Day_2[[#This Row],[Start]]),ISBLANK(Term4_Special_Day_2[[#This Row],[End]])),"",(Term4_Special_Day_2[[#This Row],[End]]-Term4_Special_Day_2[[#This Row],[Start]])*1440)</f>
        <v/>
      </c>
      <c r="M110" s="105" t="str">
        <f>IF(ISBLANK(Term4_Special_Day_2[[#This Row],[Activity]]),"",IF(_xlfn.XLOOKUP(Term4_Special_Day_2[[#This Row],[Activity]],Types_of_Activity[Type of Activity],Types_of_Activity[Classification])=1,Term4_Special_Day_2[[#This Row],[Elapsed]],0))</f>
        <v/>
      </c>
      <c r="N110" s="105" t="str">
        <f>IF(ISBLANK(Term4_Special_Day_2[[#This Row],[Activity]]),"",IF(_xlfn.XLOOKUP(Term4_Special_Day_2[[#This Row],[Activity]],Types_of_Activity[Type of Activity],Types_of_Activity[Classification])=2,Term4_Special_Day_2[[#This Row],[Elapsed]],0))</f>
        <v/>
      </c>
      <c r="O110"/>
      <c r="P110" s="135"/>
      <c r="Q110" s="135"/>
      <c r="R110" s="102"/>
      <c r="S110" s="105" t="str">
        <f>IF(OR(ISBLANK(Term4_Special_Day_3[[#This Row],[Start]]),ISBLANK(Term4_Special_Day_3[[#This Row],[End]])),"",(Term4_Special_Day_3[[#This Row],[End]]-Term4_Special_Day_3[[#This Row],[Start]])*1440)</f>
        <v/>
      </c>
      <c r="T110" s="105" t="str">
        <f>IF(ISBLANK(Term4_Special_Day_3[[#This Row],[Activity]]),"",IF(_xlfn.XLOOKUP(Term4_Special_Day_3[[#This Row],[Activity]],Types_of_Activity[Type of Activity],Types_of_Activity[Classification])=1,Term4_Special_Day_3[[#This Row],[Elapsed]],0))</f>
        <v/>
      </c>
      <c r="U110" s="105" t="str">
        <f>IF(ISBLANK(Term4_Special_Day_3[[#This Row],[Activity]]),"",IF(_xlfn.XLOOKUP(Term4_Special_Day_3[[#This Row],[Activity]],Types_of_Activity[Type of Activity],Types_of_Activity[Classification])=2,Term4_Special_Day_3[[#This Row],[Elapsed]],0))</f>
        <v/>
      </c>
      <c r="V110" s="105"/>
    </row>
    <row r="111" spans="2:22" x14ac:dyDescent="0.3">
      <c r="B111" s="135"/>
      <c r="C111" s="135"/>
      <c r="D111" s="102"/>
      <c r="E111" s="105" t="str">
        <f>IF(OR(ISBLANK(Term4_Special_Day_1[[#This Row],[Start]]),ISBLANK(Term4_Special_Day_1[[#This Row],[End]])),"",(Term4_Special_Day_1[[#This Row],[End]]-Term4_Special_Day_1[[#This Row],[Start]])*1440)</f>
        <v/>
      </c>
      <c r="F111" s="105" t="str">
        <f>IF(ISBLANK(Term4_Special_Day_1[[#This Row],[Activity]]),"",IF(_xlfn.XLOOKUP(Term4_Special_Day_1[[#This Row],[Activity]],Types_of_Activity[Type of Activity],Types_of_Activity[Classification])=1,Term4_Special_Day_1[[#This Row],[Elapsed]],0))</f>
        <v/>
      </c>
      <c r="G111" s="105" t="str">
        <f>IF(ISBLANK(Term4_Special_Day_1[[#This Row],[Activity]]),"",IF(_xlfn.XLOOKUP(Term4_Special_Day_1[[#This Row],[Activity]],Types_of_Activity[Type of Activity],Types_of_Activity[Classification])=2,Term4_Special_Day_1[[#This Row],[Elapsed]],0))</f>
        <v/>
      </c>
      <c r="H111"/>
      <c r="I111" s="135"/>
      <c r="J111" s="135"/>
      <c r="K111" s="102"/>
      <c r="L111" s="105" t="str">
        <f>IF(OR(ISBLANK(Term4_Special_Day_2[[#This Row],[Start]]),ISBLANK(Term4_Special_Day_2[[#This Row],[End]])),"",(Term4_Special_Day_2[[#This Row],[End]]-Term4_Special_Day_2[[#This Row],[Start]])*1440)</f>
        <v/>
      </c>
      <c r="M111" s="105" t="str">
        <f>IF(ISBLANK(Term4_Special_Day_2[[#This Row],[Activity]]),"",IF(_xlfn.XLOOKUP(Term4_Special_Day_2[[#This Row],[Activity]],Types_of_Activity[Type of Activity],Types_of_Activity[Classification])=1,Term4_Special_Day_2[[#This Row],[Elapsed]],0))</f>
        <v/>
      </c>
      <c r="N111" s="105" t="str">
        <f>IF(ISBLANK(Term4_Special_Day_2[[#This Row],[Activity]]),"",IF(_xlfn.XLOOKUP(Term4_Special_Day_2[[#This Row],[Activity]],Types_of_Activity[Type of Activity],Types_of_Activity[Classification])=2,Term4_Special_Day_2[[#This Row],[Elapsed]],0))</f>
        <v/>
      </c>
      <c r="O111"/>
      <c r="P111" s="135"/>
      <c r="Q111" s="135"/>
      <c r="R111" s="102"/>
      <c r="S111" s="105" t="str">
        <f>IF(OR(ISBLANK(Term4_Special_Day_3[[#This Row],[Start]]),ISBLANK(Term4_Special_Day_3[[#This Row],[End]])),"",(Term4_Special_Day_3[[#This Row],[End]]-Term4_Special_Day_3[[#This Row],[Start]])*1440)</f>
        <v/>
      </c>
      <c r="T111" s="105" t="str">
        <f>IF(ISBLANK(Term4_Special_Day_3[[#This Row],[Activity]]),"",IF(_xlfn.XLOOKUP(Term4_Special_Day_3[[#This Row],[Activity]],Types_of_Activity[Type of Activity],Types_of_Activity[Classification])=1,Term4_Special_Day_3[[#This Row],[Elapsed]],0))</f>
        <v/>
      </c>
      <c r="U111" s="105" t="str">
        <f>IF(ISBLANK(Term4_Special_Day_3[[#This Row],[Activity]]),"",IF(_xlfn.XLOOKUP(Term4_Special_Day_3[[#This Row],[Activity]],Types_of_Activity[Type of Activity],Types_of_Activity[Classification])=2,Term4_Special_Day_3[[#This Row],[Elapsed]],0))</f>
        <v/>
      </c>
      <c r="V111" s="105"/>
    </row>
    <row r="112" spans="2:22" x14ac:dyDescent="0.3">
      <c r="B112" s="135"/>
      <c r="C112" s="135"/>
      <c r="D112" s="102"/>
      <c r="E112" s="105" t="str">
        <f>IF(OR(ISBLANK(Term4_Special_Day_1[[#This Row],[Start]]),ISBLANK(Term4_Special_Day_1[[#This Row],[End]])),"",(Term4_Special_Day_1[[#This Row],[End]]-Term4_Special_Day_1[[#This Row],[Start]])*1440)</f>
        <v/>
      </c>
      <c r="F112" s="105" t="str">
        <f>IF(ISBLANK(Term4_Special_Day_1[[#This Row],[Activity]]),"",IF(_xlfn.XLOOKUP(Term4_Special_Day_1[[#This Row],[Activity]],Types_of_Activity[Type of Activity],Types_of_Activity[Classification])=1,Term4_Special_Day_1[[#This Row],[Elapsed]],0))</f>
        <v/>
      </c>
      <c r="G112" s="105" t="str">
        <f>IF(ISBLANK(Term4_Special_Day_1[[#This Row],[Activity]]),"",IF(_xlfn.XLOOKUP(Term4_Special_Day_1[[#This Row],[Activity]],Types_of_Activity[Type of Activity],Types_of_Activity[Classification])=2,Term4_Special_Day_1[[#This Row],[Elapsed]],0))</f>
        <v/>
      </c>
      <c r="H112"/>
      <c r="I112" s="135"/>
      <c r="J112" s="135"/>
      <c r="K112" s="102"/>
      <c r="L112" s="105" t="str">
        <f>IF(OR(ISBLANK(Term4_Special_Day_2[[#This Row],[Start]]),ISBLANK(Term4_Special_Day_2[[#This Row],[End]])),"",(Term4_Special_Day_2[[#This Row],[End]]-Term4_Special_Day_2[[#This Row],[Start]])*1440)</f>
        <v/>
      </c>
      <c r="M112" s="105" t="str">
        <f>IF(ISBLANK(Term4_Special_Day_2[[#This Row],[Activity]]),"",IF(_xlfn.XLOOKUP(Term4_Special_Day_2[[#This Row],[Activity]],Types_of_Activity[Type of Activity],Types_of_Activity[Classification])=1,Term4_Special_Day_2[[#This Row],[Elapsed]],0))</f>
        <v/>
      </c>
      <c r="N112" s="105" t="str">
        <f>IF(ISBLANK(Term4_Special_Day_2[[#This Row],[Activity]]),"",IF(_xlfn.XLOOKUP(Term4_Special_Day_2[[#This Row],[Activity]],Types_of_Activity[Type of Activity],Types_of_Activity[Classification])=2,Term4_Special_Day_2[[#This Row],[Elapsed]],0))</f>
        <v/>
      </c>
      <c r="O112"/>
      <c r="P112" s="135"/>
      <c r="Q112" s="135"/>
      <c r="R112" s="102"/>
      <c r="S112" s="105" t="str">
        <f>IF(OR(ISBLANK(Term4_Special_Day_3[[#This Row],[Start]]),ISBLANK(Term4_Special_Day_3[[#This Row],[End]])),"",(Term4_Special_Day_3[[#This Row],[End]]-Term4_Special_Day_3[[#This Row],[Start]])*1440)</f>
        <v/>
      </c>
      <c r="T112" s="105" t="str">
        <f>IF(ISBLANK(Term4_Special_Day_3[[#This Row],[Activity]]),"",IF(_xlfn.XLOOKUP(Term4_Special_Day_3[[#This Row],[Activity]],Types_of_Activity[Type of Activity],Types_of_Activity[Classification])=1,Term4_Special_Day_3[[#This Row],[Elapsed]],0))</f>
        <v/>
      </c>
      <c r="U112" s="105" t="str">
        <f>IF(ISBLANK(Term4_Special_Day_3[[#This Row],[Activity]]),"",IF(_xlfn.XLOOKUP(Term4_Special_Day_3[[#This Row],[Activity]],Types_of_Activity[Type of Activity],Types_of_Activity[Classification])=2,Term4_Special_Day_3[[#This Row],[Elapsed]],0))</f>
        <v/>
      </c>
      <c r="V112" s="105"/>
    </row>
    <row r="113" spans="2:22" x14ac:dyDescent="0.3">
      <c r="B113" s="135"/>
      <c r="C113" s="135"/>
      <c r="D113" s="102"/>
      <c r="E113" s="105" t="str">
        <f>IF(OR(ISBLANK(Term4_Special_Day_1[[#This Row],[Start]]),ISBLANK(Term4_Special_Day_1[[#This Row],[End]])),"",(Term4_Special_Day_1[[#This Row],[End]]-Term4_Special_Day_1[[#This Row],[Start]])*1440)</f>
        <v/>
      </c>
      <c r="F113" s="105" t="str">
        <f>IF(ISBLANK(Term4_Special_Day_1[[#This Row],[Activity]]),"",IF(_xlfn.XLOOKUP(Term4_Special_Day_1[[#This Row],[Activity]],Types_of_Activity[Type of Activity],Types_of_Activity[Classification])=1,Term4_Special_Day_1[[#This Row],[Elapsed]],0))</f>
        <v/>
      </c>
      <c r="G113" s="105" t="str">
        <f>IF(ISBLANK(Term4_Special_Day_1[[#This Row],[Activity]]),"",IF(_xlfn.XLOOKUP(Term4_Special_Day_1[[#This Row],[Activity]],Types_of_Activity[Type of Activity],Types_of_Activity[Classification])=2,Term4_Special_Day_1[[#This Row],[Elapsed]],0))</f>
        <v/>
      </c>
      <c r="H113"/>
      <c r="I113" s="135"/>
      <c r="J113" s="135"/>
      <c r="K113" s="102"/>
      <c r="L113" s="105" t="str">
        <f>IF(OR(ISBLANK(Term4_Special_Day_2[[#This Row],[Start]]),ISBLANK(Term4_Special_Day_2[[#This Row],[End]])),"",(Term4_Special_Day_2[[#This Row],[End]]-Term4_Special_Day_2[[#This Row],[Start]])*1440)</f>
        <v/>
      </c>
      <c r="M113" s="105" t="str">
        <f>IF(ISBLANK(Term4_Special_Day_2[[#This Row],[Activity]]),"",IF(_xlfn.XLOOKUP(Term4_Special_Day_2[[#This Row],[Activity]],Types_of_Activity[Type of Activity],Types_of_Activity[Classification])=1,Term4_Special_Day_2[[#This Row],[Elapsed]],0))</f>
        <v/>
      </c>
      <c r="N113" s="105" t="str">
        <f>IF(ISBLANK(Term4_Special_Day_2[[#This Row],[Activity]]),"",IF(_xlfn.XLOOKUP(Term4_Special_Day_2[[#This Row],[Activity]],Types_of_Activity[Type of Activity],Types_of_Activity[Classification])=2,Term4_Special_Day_2[[#This Row],[Elapsed]],0))</f>
        <v/>
      </c>
      <c r="O113"/>
      <c r="P113" s="135"/>
      <c r="Q113" s="135"/>
      <c r="R113" s="102"/>
      <c r="S113" s="105" t="str">
        <f>IF(OR(ISBLANK(Term4_Special_Day_3[[#This Row],[Start]]),ISBLANK(Term4_Special_Day_3[[#This Row],[End]])),"",(Term4_Special_Day_3[[#This Row],[End]]-Term4_Special_Day_3[[#This Row],[Start]])*1440)</f>
        <v/>
      </c>
      <c r="T113" s="105" t="str">
        <f>IF(ISBLANK(Term4_Special_Day_3[[#This Row],[Activity]]),"",IF(_xlfn.XLOOKUP(Term4_Special_Day_3[[#This Row],[Activity]],Types_of_Activity[Type of Activity],Types_of_Activity[Classification])=1,Term4_Special_Day_3[[#This Row],[Elapsed]],0))</f>
        <v/>
      </c>
      <c r="U113" s="105" t="str">
        <f>IF(ISBLANK(Term4_Special_Day_3[[#This Row],[Activity]]),"",IF(_xlfn.XLOOKUP(Term4_Special_Day_3[[#This Row],[Activity]],Types_of_Activity[Type of Activity],Types_of_Activity[Classification])=2,Term4_Special_Day_3[[#This Row],[Elapsed]],0))</f>
        <v/>
      </c>
      <c r="V113" s="105"/>
    </row>
    <row r="114" spans="2:22" x14ac:dyDescent="0.3">
      <c r="B114" s="135"/>
      <c r="C114" s="135"/>
      <c r="D114" s="102"/>
      <c r="E114" s="105" t="str">
        <f>IF(OR(ISBLANK(Term4_Special_Day_1[[#This Row],[Start]]),ISBLANK(Term4_Special_Day_1[[#This Row],[End]])),"",(Term4_Special_Day_1[[#This Row],[End]]-Term4_Special_Day_1[[#This Row],[Start]])*1440)</f>
        <v/>
      </c>
      <c r="F114" s="105" t="str">
        <f>IF(ISBLANK(Term4_Special_Day_1[[#This Row],[Activity]]),"",IF(_xlfn.XLOOKUP(Term4_Special_Day_1[[#This Row],[Activity]],Types_of_Activity[Type of Activity],Types_of_Activity[Classification])=1,Term4_Special_Day_1[[#This Row],[Elapsed]],0))</f>
        <v/>
      </c>
      <c r="G114" s="105" t="str">
        <f>IF(ISBLANK(Term4_Special_Day_1[[#This Row],[Activity]]),"",IF(_xlfn.XLOOKUP(Term4_Special_Day_1[[#This Row],[Activity]],Types_of_Activity[Type of Activity],Types_of_Activity[Classification])=2,Term4_Special_Day_1[[#This Row],[Elapsed]],0))</f>
        <v/>
      </c>
      <c r="H114"/>
      <c r="I114" s="135"/>
      <c r="J114" s="135"/>
      <c r="K114" s="102"/>
      <c r="L114" s="105" t="str">
        <f>IF(OR(ISBLANK(Term4_Special_Day_2[[#This Row],[Start]]),ISBLANK(Term4_Special_Day_2[[#This Row],[End]])),"",(Term4_Special_Day_2[[#This Row],[End]]-Term4_Special_Day_2[[#This Row],[Start]])*1440)</f>
        <v/>
      </c>
      <c r="M114" s="105" t="str">
        <f>IF(ISBLANK(Term4_Special_Day_2[[#This Row],[Activity]]),"",IF(_xlfn.XLOOKUP(Term4_Special_Day_2[[#This Row],[Activity]],Types_of_Activity[Type of Activity],Types_of_Activity[Classification])=1,Term4_Special_Day_2[[#This Row],[Elapsed]],0))</f>
        <v/>
      </c>
      <c r="N114" s="105" t="str">
        <f>IF(ISBLANK(Term4_Special_Day_2[[#This Row],[Activity]]),"",IF(_xlfn.XLOOKUP(Term4_Special_Day_2[[#This Row],[Activity]],Types_of_Activity[Type of Activity],Types_of_Activity[Classification])=2,Term4_Special_Day_2[[#This Row],[Elapsed]],0))</f>
        <v/>
      </c>
      <c r="O114"/>
      <c r="P114" s="135"/>
      <c r="Q114" s="135"/>
      <c r="R114" s="102"/>
      <c r="S114" s="105" t="str">
        <f>IF(OR(ISBLANK(Term4_Special_Day_3[[#This Row],[Start]]),ISBLANK(Term4_Special_Day_3[[#This Row],[End]])),"",(Term4_Special_Day_3[[#This Row],[End]]-Term4_Special_Day_3[[#This Row],[Start]])*1440)</f>
        <v/>
      </c>
      <c r="T114" s="105" t="str">
        <f>IF(ISBLANK(Term4_Special_Day_3[[#This Row],[Activity]]),"",IF(_xlfn.XLOOKUP(Term4_Special_Day_3[[#This Row],[Activity]],Types_of_Activity[Type of Activity],Types_of_Activity[Classification])=1,Term4_Special_Day_3[[#This Row],[Elapsed]],0))</f>
        <v/>
      </c>
      <c r="U114" s="105" t="str">
        <f>IF(ISBLANK(Term4_Special_Day_3[[#This Row],[Activity]]),"",IF(_xlfn.XLOOKUP(Term4_Special_Day_3[[#This Row],[Activity]],Types_of_Activity[Type of Activity],Types_of_Activity[Classification])=2,Term4_Special_Day_3[[#This Row],[Elapsed]],0))</f>
        <v/>
      </c>
      <c r="V114" s="105"/>
    </row>
    <row r="115" spans="2:22" x14ac:dyDescent="0.3">
      <c r="B115" s="135"/>
      <c r="C115" s="135"/>
      <c r="D115" s="102"/>
      <c r="E115" s="105" t="str">
        <f>IF(OR(ISBLANK(Term4_Special_Day_1[[#This Row],[Start]]),ISBLANK(Term4_Special_Day_1[[#This Row],[End]])),"",(Term4_Special_Day_1[[#This Row],[End]]-Term4_Special_Day_1[[#This Row],[Start]])*1440)</f>
        <v/>
      </c>
      <c r="F115" s="105" t="str">
        <f>IF(ISBLANK(Term4_Special_Day_1[[#This Row],[Activity]]),"",IF(_xlfn.XLOOKUP(Term4_Special_Day_1[[#This Row],[Activity]],Types_of_Activity[Type of Activity],Types_of_Activity[Classification])=1,Term4_Special_Day_1[[#This Row],[Elapsed]],0))</f>
        <v/>
      </c>
      <c r="G115" s="105" t="str">
        <f>IF(ISBLANK(Term4_Special_Day_1[[#This Row],[Activity]]),"",IF(_xlfn.XLOOKUP(Term4_Special_Day_1[[#This Row],[Activity]],Types_of_Activity[Type of Activity],Types_of_Activity[Classification])=2,Term4_Special_Day_1[[#This Row],[Elapsed]],0))</f>
        <v/>
      </c>
      <c r="H115"/>
      <c r="I115" s="135"/>
      <c r="J115" s="135"/>
      <c r="K115" s="102"/>
      <c r="L115" s="105" t="str">
        <f>IF(OR(ISBLANK(Term4_Special_Day_2[[#This Row],[Start]]),ISBLANK(Term4_Special_Day_2[[#This Row],[End]])),"",(Term4_Special_Day_2[[#This Row],[End]]-Term4_Special_Day_2[[#This Row],[Start]])*1440)</f>
        <v/>
      </c>
      <c r="M115" s="105" t="str">
        <f>IF(ISBLANK(Term4_Special_Day_2[[#This Row],[Activity]]),"",IF(_xlfn.XLOOKUP(Term4_Special_Day_2[[#This Row],[Activity]],Types_of_Activity[Type of Activity],Types_of_Activity[Classification])=1,Term4_Special_Day_2[[#This Row],[Elapsed]],0))</f>
        <v/>
      </c>
      <c r="N115" s="105" t="str">
        <f>IF(ISBLANK(Term4_Special_Day_2[[#This Row],[Activity]]),"",IF(_xlfn.XLOOKUP(Term4_Special_Day_2[[#This Row],[Activity]],Types_of_Activity[Type of Activity],Types_of_Activity[Classification])=2,Term4_Special_Day_2[[#This Row],[Elapsed]],0))</f>
        <v/>
      </c>
      <c r="O115"/>
      <c r="P115" s="135"/>
      <c r="Q115" s="135"/>
      <c r="R115" s="102"/>
      <c r="S115" s="105" t="str">
        <f>IF(OR(ISBLANK(Term4_Special_Day_3[[#This Row],[Start]]),ISBLANK(Term4_Special_Day_3[[#This Row],[End]])),"",(Term4_Special_Day_3[[#This Row],[End]]-Term4_Special_Day_3[[#This Row],[Start]])*1440)</f>
        <v/>
      </c>
      <c r="T115" s="105" t="str">
        <f>IF(ISBLANK(Term4_Special_Day_3[[#This Row],[Activity]]),"",IF(_xlfn.XLOOKUP(Term4_Special_Day_3[[#This Row],[Activity]],Types_of_Activity[Type of Activity],Types_of_Activity[Classification])=1,Term4_Special_Day_3[[#This Row],[Elapsed]],0))</f>
        <v/>
      </c>
      <c r="U115" s="105" t="str">
        <f>IF(ISBLANK(Term4_Special_Day_3[[#This Row],[Activity]]),"",IF(_xlfn.XLOOKUP(Term4_Special_Day_3[[#This Row],[Activity]],Types_of_Activity[Type of Activity],Types_of_Activity[Classification])=2,Term4_Special_Day_3[[#This Row],[Elapsed]],0))</f>
        <v/>
      </c>
      <c r="V115" s="105"/>
    </row>
    <row r="116" spans="2:22" x14ac:dyDescent="0.3">
      <c r="B116" s="135"/>
      <c r="C116" s="135"/>
      <c r="D116" s="102"/>
      <c r="E116" s="105" t="str">
        <f>IF(OR(ISBLANK(Term4_Special_Day_1[[#This Row],[Start]]),ISBLANK(Term4_Special_Day_1[[#This Row],[End]])),"",(Term4_Special_Day_1[[#This Row],[End]]-Term4_Special_Day_1[[#This Row],[Start]])*1440)</f>
        <v/>
      </c>
      <c r="F116" s="105" t="str">
        <f>IF(ISBLANK(Term4_Special_Day_1[[#This Row],[Activity]]),"",IF(_xlfn.XLOOKUP(Term4_Special_Day_1[[#This Row],[Activity]],Types_of_Activity[Type of Activity],Types_of_Activity[Classification])=1,Term4_Special_Day_1[[#This Row],[Elapsed]],0))</f>
        <v/>
      </c>
      <c r="G116" s="105" t="str">
        <f>IF(ISBLANK(Term4_Special_Day_1[[#This Row],[Activity]]),"",IF(_xlfn.XLOOKUP(Term4_Special_Day_1[[#This Row],[Activity]],Types_of_Activity[Type of Activity],Types_of_Activity[Classification])=2,Term4_Special_Day_1[[#This Row],[Elapsed]],0))</f>
        <v/>
      </c>
      <c r="H116"/>
      <c r="I116" s="135"/>
      <c r="J116" s="135"/>
      <c r="K116" s="102"/>
      <c r="L116" s="105" t="str">
        <f>IF(OR(ISBLANK(Term4_Special_Day_2[[#This Row],[Start]]),ISBLANK(Term4_Special_Day_2[[#This Row],[End]])),"",(Term4_Special_Day_2[[#This Row],[End]]-Term4_Special_Day_2[[#This Row],[Start]])*1440)</f>
        <v/>
      </c>
      <c r="M116" s="105" t="str">
        <f>IF(ISBLANK(Term4_Special_Day_2[[#This Row],[Activity]]),"",IF(_xlfn.XLOOKUP(Term4_Special_Day_2[[#This Row],[Activity]],Types_of_Activity[Type of Activity],Types_of_Activity[Classification])=1,Term4_Special_Day_2[[#This Row],[Elapsed]],0))</f>
        <v/>
      </c>
      <c r="N116" s="105" t="str">
        <f>IF(ISBLANK(Term4_Special_Day_2[[#This Row],[Activity]]),"",IF(_xlfn.XLOOKUP(Term4_Special_Day_2[[#This Row],[Activity]],Types_of_Activity[Type of Activity],Types_of_Activity[Classification])=2,Term4_Special_Day_2[[#This Row],[Elapsed]],0))</f>
        <v/>
      </c>
      <c r="O116"/>
      <c r="P116" s="135"/>
      <c r="Q116" s="135"/>
      <c r="R116" s="102"/>
      <c r="S116" s="105" t="str">
        <f>IF(OR(ISBLANK(Term4_Special_Day_3[[#This Row],[Start]]),ISBLANK(Term4_Special_Day_3[[#This Row],[End]])),"",(Term4_Special_Day_3[[#This Row],[End]]-Term4_Special_Day_3[[#This Row],[Start]])*1440)</f>
        <v/>
      </c>
      <c r="T116" s="105" t="str">
        <f>IF(ISBLANK(Term4_Special_Day_3[[#This Row],[Activity]]),"",IF(_xlfn.XLOOKUP(Term4_Special_Day_3[[#This Row],[Activity]],Types_of_Activity[Type of Activity],Types_of_Activity[Classification])=1,Term4_Special_Day_3[[#This Row],[Elapsed]],0))</f>
        <v/>
      </c>
      <c r="U116" s="105" t="str">
        <f>IF(ISBLANK(Term4_Special_Day_3[[#This Row],[Activity]]),"",IF(_xlfn.XLOOKUP(Term4_Special_Day_3[[#This Row],[Activity]],Types_of_Activity[Type of Activity],Types_of_Activity[Classification])=2,Term4_Special_Day_3[[#This Row],[Elapsed]],0))</f>
        <v/>
      </c>
      <c r="V116" s="105"/>
    </row>
    <row r="117" spans="2:22" x14ac:dyDescent="0.3">
      <c r="B117" s="135"/>
      <c r="C117" s="135"/>
      <c r="D117" s="102"/>
      <c r="E117" s="105" t="str">
        <f>IF(OR(ISBLANK(Term4_Special_Day_1[[#This Row],[Start]]),ISBLANK(Term4_Special_Day_1[[#This Row],[End]])),"",(Term4_Special_Day_1[[#This Row],[End]]-Term4_Special_Day_1[[#This Row],[Start]])*1440)</f>
        <v/>
      </c>
      <c r="F117" s="105" t="str">
        <f>IF(ISBLANK(Term4_Special_Day_1[[#This Row],[Activity]]),"",IF(_xlfn.XLOOKUP(Term4_Special_Day_1[[#This Row],[Activity]],Types_of_Activity[Type of Activity],Types_of_Activity[Classification])=1,Term4_Special_Day_1[[#This Row],[Elapsed]],0))</f>
        <v/>
      </c>
      <c r="G117" s="105" t="str">
        <f>IF(ISBLANK(Term4_Special_Day_1[[#This Row],[Activity]]),"",IF(_xlfn.XLOOKUP(Term4_Special_Day_1[[#This Row],[Activity]],Types_of_Activity[Type of Activity],Types_of_Activity[Classification])=2,Term4_Special_Day_1[[#This Row],[Elapsed]],0))</f>
        <v/>
      </c>
      <c r="H117"/>
      <c r="I117" s="135"/>
      <c r="J117" s="135"/>
      <c r="K117" s="102"/>
      <c r="L117" s="105" t="str">
        <f>IF(OR(ISBLANK(Term4_Special_Day_2[[#This Row],[Start]]),ISBLANK(Term4_Special_Day_2[[#This Row],[End]])),"",(Term4_Special_Day_2[[#This Row],[End]]-Term4_Special_Day_2[[#This Row],[Start]])*1440)</f>
        <v/>
      </c>
      <c r="M117" s="105" t="str">
        <f>IF(ISBLANK(Term4_Special_Day_2[[#This Row],[Activity]]),"",IF(_xlfn.XLOOKUP(Term4_Special_Day_2[[#This Row],[Activity]],Types_of_Activity[Type of Activity],Types_of_Activity[Classification])=1,Term4_Special_Day_2[[#This Row],[Elapsed]],0))</f>
        <v/>
      </c>
      <c r="N117" s="105" t="str">
        <f>IF(ISBLANK(Term4_Special_Day_2[[#This Row],[Activity]]),"",IF(_xlfn.XLOOKUP(Term4_Special_Day_2[[#This Row],[Activity]],Types_of_Activity[Type of Activity],Types_of_Activity[Classification])=2,Term4_Special_Day_2[[#This Row],[Elapsed]],0))</f>
        <v/>
      </c>
      <c r="O117"/>
      <c r="P117" s="135"/>
      <c r="Q117" s="135"/>
      <c r="R117" s="102"/>
      <c r="S117" s="105" t="str">
        <f>IF(OR(ISBLANK(Term4_Special_Day_3[[#This Row],[Start]]),ISBLANK(Term4_Special_Day_3[[#This Row],[End]])),"",(Term4_Special_Day_3[[#This Row],[End]]-Term4_Special_Day_3[[#This Row],[Start]])*1440)</f>
        <v/>
      </c>
      <c r="T117" s="105" t="str">
        <f>IF(ISBLANK(Term4_Special_Day_3[[#This Row],[Activity]]),"",IF(_xlfn.XLOOKUP(Term4_Special_Day_3[[#This Row],[Activity]],Types_of_Activity[Type of Activity],Types_of_Activity[Classification])=1,Term4_Special_Day_3[[#This Row],[Elapsed]],0))</f>
        <v/>
      </c>
      <c r="U117" s="105" t="str">
        <f>IF(ISBLANK(Term4_Special_Day_3[[#This Row],[Activity]]),"",IF(_xlfn.XLOOKUP(Term4_Special_Day_3[[#This Row],[Activity]],Types_of_Activity[Type of Activity],Types_of_Activity[Classification])=2,Term4_Special_Day_3[[#This Row],[Elapsed]],0))</f>
        <v/>
      </c>
      <c r="V117" s="105"/>
    </row>
    <row r="118" spans="2:22" x14ac:dyDescent="0.3">
      <c r="B118" s="135"/>
      <c r="C118" s="135"/>
      <c r="D118" s="102"/>
      <c r="E118" s="105" t="str">
        <f>IF(OR(ISBLANK(Term4_Special_Day_1[[#This Row],[Start]]),ISBLANK(Term4_Special_Day_1[[#This Row],[End]])),"",(Term4_Special_Day_1[[#This Row],[End]]-Term4_Special_Day_1[[#This Row],[Start]])*1440)</f>
        <v/>
      </c>
      <c r="F118" s="105" t="str">
        <f>IF(ISBLANK(Term4_Special_Day_1[[#This Row],[Activity]]),"",IF(_xlfn.XLOOKUP(Term4_Special_Day_1[[#This Row],[Activity]],Types_of_Activity[Type of Activity],Types_of_Activity[Classification])=1,Term4_Special_Day_1[[#This Row],[Elapsed]],0))</f>
        <v/>
      </c>
      <c r="G118" s="105" t="str">
        <f>IF(ISBLANK(Term4_Special_Day_1[[#This Row],[Activity]]),"",IF(_xlfn.XLOOKUP(Term4_Special_Day_1[[#This Row],[Activity]],Types_of_Activity[Type of Activity],Types_of_Activity[Classification])=2,Term4_Special_Day_1[[#This Row],[Elapsed]],0))</f>
        <v/>
      </c>
      <c r="H118"/>
      <c r="I118" s="135"/>
      <c r="J118" s="135"/>
      <c r="K118" s="102"/>
      <c r="L118" s="105" t="str">
        <f>IF(OR(ISBLANK(Term4_Special_Day_2[[#This Row],[Start]]),ISBLANK(Term4_Special_Day_2[[#This Row],[End]])),"",(Term4_Special_Day_2[[#This Row],[End]]-Term4_Special_Day_2[[#This Row],[Start]])*1440)</f>
        <v/>
      </c>
      <c r="M118" s="105" t="str">
        <f>IF(ISBLANK(Term4_Special_Day_2[[#This Row],[Activity]]),"",IF(_xlfn.XLOOKUP(Term4_Special_Day_2[[#This Row],[Activity]],Types_of_Activity[Type of Activity],Types_of_Activity[Classification])=1,Term4_Special_Day_2[[#This Row],[Elapsed]],0))</f>
        <v/>
      </c>
      <c r="N118" s="105" t="str">
        <f>IF(ISBLANK(Term4_Special_Day_2[[#This Row],[Activity]]),"",IF(_xlfn.XLOOKUP(Term4_Special_Day_2[[#This Row],[Activity]],Types_of_Activity[Type of Activity],Types_of_Activity[Classification])=2,Term4_Special_Day_2[[#This Row],[Elapsed]],0))</f>
        <v/>
      </c>
      <c r="O118"/>
      <c r="P118" s="135"/>
      <c r="Q118" s="135"/>
      <c r="R118" s="102"/>
      <c r="S118" s="105" t="str">
        <f>IF(OR(ISBLANK(Term4_Special_Day_3[[#This Row],[Start]]),ISBLANK(Term4_Special_Day_3[[#This Row],[End]])),"",(Term4_Special_Day_3[[#This Row],[End]]-Term4_Special_Day_3[[#This Row],[Start]])*1440)</f>
        <v/>
      </c>
      <c r="T118" s="105" t="str">
        <f>IF(ISBLANK(Term4_Special_Day_3[[#This Row],[Activity]]),"",IF(_xlfn.XLOOKUP(Term4_Special_Day_3[[#This Row],[Activity]],Types_of_Activity[Type of Activity],Types_of_Activity[Classification])=1,Term4_Special_Day_3[[#This Row],[Elapsed]],0))</f>
        <v/>
      </c>
      <c r="U118" s="105" t="str">
        <f>IF(ISBLANK(Term4_Special_Day_3[[#This Row],[Activity]]),"",IF(_xlfn.XLOOKUP(Term4_Special_Day_3[[#This Row],[Activity]],Types_of_Activity[Type of Activity],Types_of_Activity[Classification])=2,Term4_Special_Day_3[[#This Row],[Elapsed]],0))</f>
        <v/>
      </c>
      <c r="V118" s="105"/>
    </row>
    <row r="119" spans="2:22" x14ac:dyDescent="0.3">
      <c r="B119" s="135"/>
      <c r="C119" s="135"/>
      <c r="D119" s="102"/>
      <c r="E119" s="105" t="str">
        <f>IF(OR(ISBLANK(Term4_Special_Day_1[[#This Row],[Start]]),ISBLANK(Term4_Special_Day_1[[#This Row],[End]])),"",(Term4_Special_Day_1[[#This Row],[End]]-Term4_Special_Day_1[[#This Row],[Start]])*1440)</f>
        <v/>
      </c>
      <c r="F119" s="105" t="str">
        <f>IF(ISBLANK(Term4_Special_Day_1[[#This Row],[Activity]]),"",IF(_xlfn.XLOOKUP(Term4_Special_Day_1[[#This Row],[Activity]],Types_of_Activity[Type of Activity],Types_of_Activity[Classification])=1,Term4_Special_Day_1[[#This Row],[Elapsed]],0))</f>
        <v/>
      </c>
      <c r="G119" s="105" t="str">
        <f>IF(ISBLANK(Term4_Special_Day_1[[#This Row],[Activity]]),"",IF(_xlfn.XLOOKUP(Term4_Special_Day_1[[#This Row],[Activity]],Types_of_Activity[Type of Activity],Types_of_Activity[Classification])=2,Term4_Special_Day_1[[#This Row],[Elapsed]],0))</f>
        <v/>
      </c>
      <c r="H119"/>
      <c r="I119" s="135"/>
      <c r="J119" s="135"/>
      <c r="K119" s="102"/>
      <c r="L119" s="105" t="str">
        <f>IF(OR(ISBLANK(Term4_Special_Day_2[[#This Row],[Start]]),ISBLANK(Term4_Special_Day_2[[#This Row],[End]])),"",(Term4_Special_Day_2[[#This Row],[End]]-Term4_Special_Day_2[[#This Row],[Start]])*1440)</f>
        <v/>
      </c>
      <c r="M119" s="105" t="str">
        <f>IF(ISBLANK(Term4_Special_Day_2[[#This Row],[Activity]]),"",IF(_xlfn.XLOOKUP(Term4_Special_Day_2[[#This Row],[Activity]],Types_of_Activity[Type of Activity],Types_of_Activity[Classification])=1,Term4_Special_Day_2[[#This Row],[Elapsed]],0))</f>
        <v/>
      </c>
      <c r="N119" s="105" t="str">
        <f>IF(ISBLANK(Term4_Special_Day_2[[#This Row],[Activity]]),"",IF(_xlfn.XLOOKUP(Term4_Special_Day_2[[#This Row],[Activity]],Types_of_Activity[Type of Activity],Types_of_Activity[Classification])=2,Term4_Special_Day_2[[#This Row],[Elapsed]],0))</f>
        <v/>
      </c>
      <c r="O119"/>
      <c r="P119" s="135"/>
      <c r="Q119" s="135"/>
      <c r="R119" s="102"/>
      <c r="S119" s="105" t="str">
        <f>IF(OR(ISBLANK(Term4_Special_Day_3[[#This Row],[Start]]),ISBLANK(Term4_Special_Day_3[[#This Row],[End]])),"",(Term4_Special_Day_3[[#This Row],[End]]-Term4_Special_Day_3[[#This Row],[Start]])*1440)</f>
        <v/>
      </c>
      <c r="T119" s="105" t="str">
        <f>IF(ISBLANK(Term4_Special_Day_3[[#This Row],[Activity]]),"",IF(_xlfn.XLOOKUP(Term4_Special_Day_3[[#This Row],[Activity]],Types_of_Activity[Type of Activity],Types_of_Activity[Classification])=1,Term4_Special_Day_3[[#This Row],[Elapsed]],0))</f>
        <v/>
      </c>
      <c r="U119" s="105" t="str">
        <f>IF(ISBLANK(Term4_Special_Day_3[[#This Row],[Activity]]),"",IF(_xlfn.XLOOKUP(Term4_Special_Day_3[[#This Row],[Activity]],Types_of_Activity[Type of Activity],Types_of_Activity[Classification])=2,Term4_Special_Day_3[[#This Row],[Elapsed]],0))</f>
        <v/>
      </c>
      <c r="V119" s="105"/>
    </row>
    <row r="120" spans="2:22" x14ac:dyDescent="0.3">
      <c r="B120" s="135"/>
      <c r="C120" s="135"/>
      <c r="D120" s="102"/>
      <c r="E120" s="105" t="str">
        <f>IF(OR(ISBLANK(Term4_Special_Day_1[[#This Row],[Start]]),ISBLANK(Term4_Special_Day_1[[#This Row],[End]])),"",(Term4_Special_Day_1[[#This Row],[End]]-Term4_Special_Day_1[[#This Row],[Start]])*1440)</f>
        <v/>
      </c>
      <c r="F120" s="105" t="str">
        <f>IF(ISBLANK(Term4_Special_Day_1[[#This Row],[Activity]]),"",IF(_xlfn.XLOOKUP(Term4_Special_Day_1[[#This Row],[Activity]],Types_of_Activity[Type of Activity],Types_of_Activity[Classification])=1,Term4_Special_Day_1[[#This Row],[Elapsed]],0))</f>
        <v/>
      </c>
      <c r="G120" s="105" t="str">
        <f>IF(ISBLANK(Term4_Special_Day_1[[#This Row],[Activity]]),"",IF(_xlfn.XLOOKUP(Term4_Special_Day_1[[#This Row],[Activity]],Types_of_Activity[Type of Activity],Types_of_Activity[Classification])=2,Term4_Special_Day_1[[#This Row],[Elapsed]],0))</f>
        <v/>
      </c>
      <c r="H120"/>
      <c r="I120" s="135"/>
      <c r="J120" s="135"/>
      <c r="K120" s="102"/>
      <c r="L120" s="105" t="str">
        <f>IF(OR(ISBLANK(Term4_Special_Day_2[[#This Row],[Start]]),ISBLANK(Term4_Special_Day_2[[#This Row],[End]])),"",(Term4_Special_Day_2[[#This Row],[End]]-Term4_Special_Day_2[[#This Row],[Start]])*1440)</f>
        <v/>
      </c>
      <c r="M120" s="105" t="str">
        <f>IF(ISBLANK(Term4_Special_Day_2[[#This Row],[Activity]]),"",IF(_xlfn.XLOOKUP(Term4_Special_Day_2[[#This Row],[Activity]],Types_of_Activity[Type of Activity],Types_of_Activity[Classification])=1,Term4_Special_Day_2[[#This Row],[Elapsed]],0))</f>
        <v/>
      </c>
      <c r="N120" s="105" t="str">
        <f>IF(ISBLANK(Term4_Special_Day_2[[#This Row],[Activity]]),"",IF(_xlfn.XLOOKUP(Term4_Special_Day_2[[#This Row],[Activity]],Types_of_Activity[Type of Activity],Types_of_Activity[Classification])=2,Term4_Special_Day_2[[#This Row],[Elapsed]],0))</f>
        <v/>
      </c>
      <c r="O120"/>
      <c r="P120" s="135"/>
      <c r="Q120" s="135"/>
      <c r="R120" s="102"/>
      <c r="S120" s="105" t="str">
        <f>IF(OR(ISBLANK(Term4_Special_Day_3[[#This Row],[Start]]),ISBLANK(Term4_Special_Day_3[[#This Row],[End]])),"",(Term4_Special_Day_3[[#This Row],[End]]-Term4_Special_Day_3[[#This Row],[Start]])*1440)</f>
        <v/>
      </c>
      <c r="T120" s="105" t="str">
        <f>IF(ISBLANK(Term4_Special_Day_3[[#This Row],[Activity]]),"",IF(_xlfn.XLOOKUP(Term4_Special_Day_3[[#This Row],[Activity]],Types_of_Activity[Type of Activity],Types_of_Activity[Classification])=1,Term4_Special_Day_3[[#This Row],[Elapsed]],0))</f>
        <v/>
      </c>
      <c r="U120" s="105" t="str">
        <f>IF(ISBLANK(Term4_Special_Day_3[[#This Row],[Activity]]),"",IF(_xlfn.XLOOKUP(Term4_Special_Day_3[[#This Row],[Activity]],Types_of_Activity[Type of Activity],Types_of_Activity[Classification])=2,Term4_Special_Day_3[[#This Row],[Elapsed]],0))</f>
        <v/>
      </c>
      <c r="V120" s="105"/>
    </row>
    <row r="121" spans="2:22" x14ac:dyDescent="0.3">
      <c r="B121" s="135"/>
      <c r="C121" s="135"/>
      <c r="D121" s="102"/>
      <c r="E121" s="105" t="str">
        <f>IF(OR(ISBLANK(Term4_Special_Day_1[[#This Row],[Start]]),ISBLANK(Term4_Special_Day_1[[#This Row],[End]])),"",(Term4_Special_Day_1[[#This Row],[End]]-Term4_Special_Day_1[[#This Row],[Start]])*1440)</f>
        <v/>
      </c>
      <c r="F121" s="105" t="str">
        <f>IF(ISBLANK(Term4_Special_Day_1[[#This Row],[Activity]]),"",IF(_xlfn.XLOOKUP(Term4_Special_Day_1[[#This Row],[Activity]],Types_of_Activity[Type of Activity],Types_of_Activity[Classification])=1,Term4_Special_Day_1[[#This Row],[Elapsed]],0))</f>
        <v/>
      </c>
      <c r="G121" s="105" t="str">
        <f>IF(ISBLANK(Term4_Special_Day_1[[#This Row],[Activity]]),"",IF(_xlfn.XLOOKUP(Term4_Special_Day_1[[#This Row],[Activity]],Types_of_Activity[Type of Activity],Types_of_Activity[Classification])=2,Term4_Special_Day_1[[#This Row],[Elapsed]],0))</f>
        <v/>
      </c>
      <c r="H121"/>
      <c r="I121" s="135"/>
      <c r="J121" s="135"/>
      <c r="K121" s="102"/>
      <c r="L121" s="105" t="str">
        <f>IF(OR(ISBLANK(Term4_Special_Day_2[[#This Row],[Start]]),ISBLANK(Term4_Special_Day_2[[#This Row],[End]])),"",(Term4_Special_Day_2[[#This Row],[End]]-Term4_Special_Day_2[[#This Row],[Start]])*1440)</f>
        <v/>
      </c>
      <c r="M121" s="105" t="str">
        <f>IF(ISBLANK(Term4_Special_Day_2[[#This Row],[Activity]]),"",IF(_xlfn.XLOOKUP(Term4_Special_Day_2[[#This Row],[Activity]],Types_of_Activity[Type of Activity],Types_of_Activity[Classification])=1,Term4_Special_Day_2[[#This Row],[Elapsed]],0))</f>
        <v/>
      </c>
      <c r="N121" s="105" t="str">
        <f>IF(ISBLANK(Term4_Special_Day_2[[#This Row],[Activity]]),"",IF(_xlfn.XLOOKUP(Term4_Special_Day_2[[#This Row],[Activity]],Types_of_Activity[Type of Activity],Types_of_Activity[Classification])=2,Term4_Special_Day_2[[#This Row],[Elapsed]],0))</f>
        <v/>
      </c>
      <c r="O121"/>
      <c r="P121" s="135"/>
      <c r="Q121" s="135"/>
      <c r="R121" s="102"/>
      <c r="S121" s="105" t="str">
        <f>IF(OR(ISBLANK(Term4_Special_Day_3[[#This Row],[Start]]),ISBLANK(Term4_Special_Day_3[[#This Row],[End]])),"",(Term4_Special_Day_3[[#This Row],[End]]-Term4_Special_Day_3[[#This Row],[Start]])*1440)</f>
        <v/>
      </c>
      <c r="T121" s="105" t="str">
        <f>IF(ISBLANK(Term4_Special_Day_3[[#This Row],[Activity]]),"",IF(_xlfn.XLOOKUP(Term4_Special_Day_3[[#This Row],[Activity]],Types_of_Activity[Type of Activity],Types_of_Activity[Classification])=1,Term4_Special_Day_3[[#This Row],[Elapsed]],0))</f>
        <v/>
      </c>
      <c r="U121" s="105" t="str">
        <f>IF(ISBLANK(Term4_Special_Day_3[[#This Row],[Activity]]),"",IF(_xlfn.XLOOKUP(Term4_Special_Day_3[[#This Row],[Activity]],Types_of_Activity[Type of Activity],Types_of_Activity[Classification])=2,Term4_Special_Day_3[[#This Row],[Elapsed]],0))</f>
        <v/>
      </c>
      <c r="V121" s="105"/>
    </row>
    <row r="122" spans="2:22" x14ac:dyDescent="0.3">
      <c r="B122" s="135"/>
      <c r="C122" s="135"/>
      <c r="D122" s="102"/>
      <c r="E122" s="105" t="str">
        <f>IF(OR(ISBLANK(Term4_Special_Day_1[[#This Row],[Start]]),ISBLANK(Term4_Special_Day_1[[#This Row],[End]])),"",(Term4_Special_Day_1[[#This Row],[End]]-Term4_Special_Day_1[[#This Row],[Start]])*1440)</f>
        <v/>
      </c>
      <c r="F122" s="105" t="str">
        <f>IF(ISBLANK(Term4_Special_Day_1[[#This Row],[Activity]]),"",IF(_xlfn.XLOOKUP(Term4_Special_Day_1[[#This Row],[Activity]],Types_of_Activity[Type of Activity],Types_of_Activity[Classification])=1,Term4_Special_Day_1[[#This Row],[Elapsed]],0))</f>
        <v/>
      </c>
      <c r="G122" s="105" t="str">
        <f>IF(ISBLANK(Term4_Special_Day_1[[#This Row],[Activity]]),"",IF(_xlfn.XLOOKUP(Term4_Special_Day_1[[#This Row],[Activity]],Types_of_Activity[Type of Activity],Types_of_Activity[Classification])=2,Term4_Special_Day_1[[#This Row],[Elapsed]],0))</f>
        <v/>
      </c>
      <c r="H122"/>
      <c r="I122" s="135"/>
      <c r="J122" s="135"/>
      <c r="K122" s="102"/>
      <c r="L122" s="105" t="str">
        <f>IF(OR(ISBLANK(Term4_Special_Day_2[[#This Row],[Start]]),ISBLANK(Term4_Special_Day_2[[#This Row],[End]])),"",(Term4_Special_Day_2[[#This Row],[End]]-Term4_Special_Day_2[[#This Row],[Start]])*1440)</f>
        <v/>
      </c>
      <c r="M122" s="105" t="str">
        <f>IF(ISBLANK(Term4_Special_Day_2[[#This Row],[Activity]]),"",IF(_xlfn.XLOOKUP(Term4_Special_Day_2[[#This Row],[Activity]],Types_of_Activity[Type of Activity],Types_of_Activity[Classification])=1,Term4_Special_Day_2[[#This Row],[Elapsed]],0))</f>
        <v/>
      </c>
      <c r="N122" s="105" t="str">
        <f>IF(ISBLANK(Term4_Special_Day_2[[#This Row],[Activity]]),"",IF(_xlfn.XLOOKUP(Term4_Special_Day_2[[#This Row],[Activity]],Types_of_Activity[Type of Activity],Types_of_Activity[Classification])=2,Term4_Special_Day_2[[#This Row],[Elapsed]],0))</f>
        <v/>
      </c>
      <c r="O122"/>
      <c r="P122" s="135"/>
      <c r="Q122" s="135"/>
      <c r="R122" s="102"/>
      <c r="S122" s="105" t="str">
        <f>IF(OR(ISBLANK(Term4_Special_Day_3[[#This Row],[Start]]),ISBLANK(Term4_Special_Day_3[[#This Row],[End]])),"",(Term4_Special_Day_3[[#This Row],[End]]-Term4_Special_Day_3[[#This Row],[Start]])*1440)</f>
        <v/>
      </c>
      <c r="T122" s="105" t="str">
        <f>IF(ISBLANK(Term4_Special_Day_3[[#This Row],[Activity]]),"",IF(_xlfn.XLOOKUP(Term4_Special_Day_3[[#This Row],[Activity]],Types_of_Activity[Type of Activity],Types_of_Activity[Classification])=1,Term4_Special_Day_3[[#This Row],[Elapsed]],0))</f>
        <v/>
      </c>
      <c r="U122" s="105" t="str">
        <f>IF(ISBLANK(Term4_Special_Day_3[[#This Row],[Activity]]),"",IF(_xlfn.XLOOKUP(Term4_Special_Day_3[[#This Row],[Activity]],Types_of_Activity[Type of Activity],Types_of_Activity[Classification])=2,Term4_Special_Day_3[[#This Row],[Elapsed]],0))</f>
        <v/>
      </c>
      <c r="V122" s="105"/>
    </row>
    <row r="123" spans="2:22" x14ac:dyDescent="0.3">
      <c r="B123" s="135"/>
      <c r="C123" s="135"/>
      <c r="D123" s="102"/>
      <c r="E123" s="105" t="str">
        <f>IF(OR(ISBLANK(Term4_Special_Day_1[[#This Row],[Start]]),ISBLANK(Term4_Special_Day_1[[#This Row],[End]])),"",(Term4_Special_Day_1[[#This Row],[End]]-Term4_Special_Day_1[[#This Row],[Start]])*1440)</f>
        <v/>
      </c>
      <c r="F123" s="105" t="str">
        <f>IF(ISBLANK(Term4_Special_Day_1[[#This Row],[Activity]]),"",IF(_xlfn.XLOOKUP(Term4_Special_Day_1[[#This Row],[Activity]],Types_of_Activity[Type of Activity],Types_of_Activity[Classification])=1,Term4_Special_Day_1[[#This Row],[Elapsed]],0))</f>
        <v/>
      </c>
      <c r="G123" s="105" t="str">
        <f>IF(ISBLANK(Term4_Special_Day_1[[#This Row],[Activity]]),"",IF(_xlfn.XLOOKUP(Term4_Special_Day_1[[#This Row],[Activity]],Types_of_Activity[Type of Activity],Types_of_Activity[Classification])=2,Term4_Special_Day_1[[#This Row],[Elapsed]],0))</f>
        <v/>
      </c>
      <c r="H123"/>
      <c r="I123" s="135"/>
      <c r="J123" s="135"/>
      <c r="K123" s="102"/>
      <c r="L123" s="105" t="str">
        <f>IF(OR(ISBLANK(Term4_Special_Day_2[[#This Row],[Start]]),ISBLANK(Term4_Special_Day_2[[#This Row],[End]])),"",(Term4_Special_Day_2[[#This Row],[End]]-Term4_Special_Day_2[[#This Row],[Start]])*1440)</f>
        <v/>
      </c>
      <c r="M123" s="105" t="str">
        <f>IF(ISBLANK(Term4_Special_Day_2[[#This Row],[Activity]]),"",IF(_xlfn.XLOOKUP(Term4_Special_Day_2[[#This Row],[Activity]],Types_of_Activity[Type of Activity],Types_of_Activity[Classification])=1,Term4_Special_Day_2[[#This Row],[Elapsed]],0))</f>
        <v/>
      </c>
      <c r="N123" s="105" t="str">
        <f>IF(ISBLANK(Term4_Special_Day_2[[#This Row],[Activity]]),"",IF(_xlfn.XLOOKUP(Term4_Special_Day_2[[#This Row],[Activity]],Types_of_Activity[Type of Activity],Types_of_Activity[Classification])=2,Term4_Special_Day_2[[#This Row],[Elapsed]],0))</f>
        <v/>
      </c>
      <c r="O123"/>
      <c r="P123" s="135"/>
      <c r="Q123" s="135"/>
      <c r="R123" s="102"/>
      <c r="S123" s="105" t="str">
        <f>IF(OR(ISBLANK(Term4_Special_Day_3[[#This Row],[Start]]),ISBLANK(Term4_Special_Day_3[[#This Row],[End]])),"",(Term4_Special_Day_3[[#This Row],[End]]-Term4_Special_Day_3[[#This Row],[Start]])*1440)</f>
        <v/>
      </c>
      <c r="T123" s="105" t="str">
        <f>IF(ISBLANK(Term4_Special_Day_3[[#This Row],[Activity]]),"",IF(_xlfn.XLOOKUP(Term4_Special_Day_3[[#This Row],[Activity]],Types_of_Activity[Type of Activity],Types_of_Activity[Classification])=1,Term4_Special_Day_3[[#This Row],[Elapsed]],0))</f>
        <v/>
      </c>
      <c r="U123" s="105" t="str">
        <f>IF(ISBLANK(Term4_Special_Day_3[[#This Row],[Activity]]),"",IF(_xlfn.XLOOKUP(Term4_Special_Day_3[[#This Row],[Activity]],Types_of_Activity[Type of Activity],Types_of_Activity[Classification])=2,Term4_Special_Day_3[[#This Row],[Elapsed]],0))</f>
        <v/>
      </c>
      <c r="V123" s="105"/>
    </row>
    <row r="124" spans="2:22" x14ac:dyDescent="0.3">
      <c r="B124" s="135"/>
      <c r="C124" s="135"/>
      <c r="D124" s="102"/>
      <c r="E124" s="105" t="str">
        <f>IF(OR(ISBLANK(Term4_Special_Day_1[[#This Row],[Start]]),ISBLANK(Term4_Special_Day_1[[#This Row],[End]])),"",(Term4_Special_Day_1[[#This Row],[End]]-Term4_Special_Day_1[[#This Row],[Start]])*1440)</f>
        <v/>
      </c>
      <c r="F124" s="105" t="str">
        <f>IF(ISBLANK(Term4_Special_Day_1[[#This Row],[Activity]]),"",IF(_xlfn.XLOOKUP(Term4_Special_Day_1[[#This Row],[Activity]],Types_of_Activity[Type of Activity],Types_of_Activity[Classification])=1,Term4_Special_Day_1[[#This Row],[Elapsed]],0))</f>
        <v/>
      </c>
      <c r="G124" s="105" t="str">
        <f>IF(ISBLANK(Term4_Special_Day_1[[#This Row],[Activity]]),"",IF(_xlfn.XLOOKUP(Term4_Special_Day_1[[#This Row],[Activity]],Types_of_Activity[Type of Activity],Types_of_Activity[Classification])=2,Term4_Special_Day_1[[#This Row],[Elapsed]],0))</f>
        <v/>
      </c>
      <c r="H124"/>
      <c r="I124" s="135"/>
      <c r="J124" s="135"/>
      <c r="K124" s="102"/>
      <c r="L124" s="105" t="str">
        <f>IF(OR(ISBLANK(Term4_Special_Day_2[[#This Row],[Start]]),ISBLANK(Term4_Special_Day_2[[#This Row],[End]])),"",(Term4_Special_Day_2[[#This Row],[End]]-Term4_Special_Day_2[[#This Row],[Start]])*1440)</f>
        <v/>
      </c>
      <c r="M124" s="105" t="str">
        <f>IF(ISBLANK(Term4_Special_Day_2[[#This Row],[Activity]]),"",IF(_xlfn.XLOOKUP(Term4_Special_Day_2[[#This Row],[Activity]],Types_of_Activity[Type of Activity],Types_of_Activity[Classification])=1,Term4_Special_Day_2[[#This Row],[Elapsed]],0))</f>
        <v/>
      </c>
      <c r="N124" s="105" t="str">
        <f>IF(ISBLANK(Term4_Special_Day_2[[#This Row],[Activity]]),"",IF(_xlfn.XLOOKUP(Term4_Special_Day_2[[#This Row],[Activity]],Types_of_Activity[Type of Activity],Types_of_Activity[Classification])=2,Term4_Special_Day_2[[#This Row],[Elapsed]],0))</f>
        <v/>
      </c>
      <c r="O124"/>
      <c r="P124" s="135"/>
      <c r="Q124" s="135"/>
      <c r="R124" s="102"/>
      <c r="S124" s="105" t="str">
        <f>IF(OR(ISBLANK(Term4_Special_Day_3[[#This Row],[Start]]),ISBLANK(Term4_Special_Day_3[[#This Row],[End]])),"",(Term4_Special_Day_3[[#This Row],[End]]-Term4_Special_Day_3[[#This Row],[Start]])*1440)</f>
        <v/>
      </c>
      <c r="T124" s="105" t="str">
        <f>IF(ISBLANK(Term4_Special_Day_3[[#This Row],[Activity]]),"",IF(_xlfn.XLOOKUP(Term4_Special_Day_3[[#This Row],[Activity]],Types_of_Activity[Type of Activity],Types_of_Activity[Classification])=1,Term4_Special_Day_3[[#This Row],[Elapsed]],0))</f>
        <v/>
      </c>
      <c r="U124" s="105" t="str">
        <f>IF(ISBLANK(Term4_Special_Day_3[[#This Row],[Activity]]),"",IF(_xlfn.XLOOKUP(Term4_Special_Day_3[[#This Row],[Activity]],Types_of_Activity[Type of Activity],Types_of_Activity[Classification])=2,Term4_Special_Day_3[[#This Row],[Elapsed]],0))</f>
        <v/>
      </c>
      <c r="V124" s="105"/>
    </row>
    <row r="125" spans="2:22" x14ac:dyDescent="0.3">
      <c r="B125" s="135"/>
      <c r="C125" s="135"/>
      <c r="D125" s="102"/>
      <c r="E125" s="105" t="str">
        <f>IF(OR(ISBLANK(Term4_Special_Day_1[[#This Row],[Start]]),ISBLANK(Term4_Special_Day_1[[#This Row],[End]])),"",(Term4_Special_Day_1[[#This Row],[End]]-Term4_Special_Day_1[[#This Row],[Start]])*1440)</f>
        <v/>
      </c>
      <c r="F125" s="105" t="str">
        <f>IF(ISBLANK(Term4_Special_Day_1[[#This Row],[Activity]]),"",IF(_xlfn.XLOOKUP(Term4_Special_Day_1[[#This Row],[Activity]],Types_of_Activity[Type of Activity],Types_of_Activity[Classification])=1,Term4_Special_Day_1[[#This Row],[Elapsed]],0))</f>
        <v/>
      </c>
      <c r="G125" s="105" t="str">
        <f>IF(ISBLANK(Term4_Special_Day_1[[#This Row],[Activity]]),"",IF(_xlfn.XLOOKUP(Term4_Special_Day_1[[#This Row],[Activity]],Types_of_Activity[Type of Activity],Types_of_Activity[Classification])=2,Term4_Special_Day_1[[#This Row],[Elapsed]],0))</f>
        <v/>
      </c>
      <c r="H125"/>
      <c r="I125" s="135"/>
      <c r="J125" s="135"/>
      <c r="K125" s="102"/>
      <c r="L125" s="105" t="str">
        <f>IF(OR(ISBLANK(Term4_Special_Day_2[[#This Row],[Start]]),ISBLANK(Term4_Special_Day_2[[#This Row],[End]])),"",(Term4_Special_Day_2[[#This Row],[End]]-Term4_Special_Day_2[[#This Row],[Start]])*1440)</f>
        <v/>
      </c>
      <c r="M125" s="105" t="str">
        <f>IF(ISBLANK(Term4_Special_Day_2[[#This Row],[Activity]]),"",IF(_xlfn.XLOOKUP(Term4_Special_Day_2[[#This Row],[Activity]],Types_of_Activity[Type of Activity],Types_of_Activity[Classification])=1,Term4_Special_Day_2[[#This Row],[Elapsed]],0))</f>
        <v/>
      </c>
      <c r="N125" s="105" t="str">
        <f>IF(ISBLANK(Term4_Special_Day_2[[#This Row],[Activity]]),"",IF(_xlfn.XLOOKUP(Term4_Special_Day_2[[#This Row],[Activity]],Types_of_Activity[Type of Activity],Types_of_Activity[Classification])=2,Term4_Special_Day_2[[#This Row],[Elapsed]],0))</f>
        <v/>
      </c>
      <c r="O125"/>
      <c r="P125" s="135"/>
      <c r="Q125" s="135"/>
      <c r="R125" s="102"/>
      <c r="S125" s="105" t="str">
        <f>IF(OR(ISBLANK(Term4_Special_Day_3[[#This Row],[Start]]),ISBLANK(Term4_Special_Day_3[[#This Row],[End]])),"",(Term4_Special_Day_3[[#This Row],[End]]-Term4_Special_Day_3[[#This Row],[Start]])*1440)</f>
        <v/>
      </c>
      <c r="T125" s="105" t="str">
        <f>IF(ISBLANK(Term4_Special_Day_3[[#This Row],[Activity]]),"",IF(_xlfn.XLOOKUP(Term4_Special_Day_3[[#This Row],[Activity]],Types_of_Activity[Type of Activity],Types_of_Activity[Classification])=1,Term4_Special_Day_3[[#This Row],[Elapsed]],0))</f>
        <v/>
      </c>
      <c r="U125" s="105" t="str">
        <f>IF(ISBLANK(Term4_Special_Day_3[[#This Row],[Activity]]),"",IF(_xlfn.XLOOKUP(Term4_Special_Day_3[[#This Row],[Activity]],Types_of_Activity[Type of Activity],Types_of_Activity[Classification])=2,Term4_Special_Day_3[[#This Row],[Elapsed]],0))</f>
        <v/>
      </c>
      <c r="V125" s="105"/>
    </row>
    <row r="126" spans="2:22" x14ac:dyDescent="0.3">
      <c r="B126" s="135"/>
      <c r="C126" s="135"/>
      <c r="D126" s="102"/>
      <c r="E126" s="105" t="str">
        <f>IF(OR(ISBLANK(Term4_Special_Day_1[[#This Row],[Start]]),ISBLANK(Term4_Special_Day_1[[#This Row],[End]])),"",(Term4_Special_Day_1[[#This Row],[End]]-Term4_Special_Day_1[[#This Row],[Start]])*1440)</f>
        <v/>
      </c>
      <c r="F126" s="105" t="str">
        <f>IF(ISBLANK(Term4_Special_Day_1[[#This Row],[Activity]]),"",IF(_xlfn.XLOOKUP(Term4_Special_Day_1[[#This Row],[Activity]],Types_of_Activity[Type of Activity],Types_of_Activity[Classification])=1,Term4_Special_Day_1[[#This Row],[Elapsed]],0))</f>
        <v/>
      </c>
      <c r="G126" s="105" t="str">
        <f>IF(ISBLANK(Term4_Special_Day_1[[#This Row],[Activity]]),"",IF(_xlfn.XLOOKUP(Term4_Special_Day_1[[#This Row],[Activity]],Types_of_Activity[Type of Activity],Types_of_Activity[Classification])=2,Term4_Special_Day_1[[#This Row],[Elapsed]],0))</f>
        <v/>
      </c>
      <c r="H126"/>
      <c r="I126" s="135"/>
      <c r="J126" s="135"/>
      <c r="K126" s="102"/>
      <c r="L126" s="105" t="str">
        <f>IF(OR(ISBLANK(Term4_Special_Day_2[[#This Row],[Start]]),ISBLANK(Term4_Special_Day_2[[#This Row],[End]])),"",(Term4_Special_Day_2[[#This Row],[End]]-Term4_Special_Day_2[[#This Row],[Start]])*1440)</f>
        <v/>
      </c>
      <c r="M126" s="105" t="str">
        <f>IF(ISBLANK(Term4_Special_Day_2[[#This Row],[Activity]]),"",IF(_xlfn.XLOOKUP(Term4_Special_Day_2[[#This Row],[Activity]],Types_of_Activity[Type of Activity],Types_of_Activity[Classification])=1,Term4_Special_Day_2[[#This Row],[Elapsed]],0))</f>
        <v/>
      </c>
      <c r="N126" s="105" t="str">
        <f>IF(ISBLANK(Term4_Special_Day_2[[#This Row],[Activity]]),"",IF(_xlfn.XLOOKUP(Term4_Special_Day_2[[#This Row],[Activity]],Types_of_Activity[Type of Activity],Types_of_Activity[Classification])=2,Term4_Special_Day_2[[#This Row],[Elapsed]],0))</f>
        <v/>
      </c>
      <c r="O126"/>
      <c r="P126" s="135"/>
      <c r="Q126" s="135"/>
      <c r="R126" s="102"/>
      <c r="S126" s="105" t="str">
        <f>IF(OR(ISBLANK(Term4_Special_Day_3[[#This Row],[Start]]),ISBLANK(Term4_Special_Day_3[[#This Row],[End]])),"",(Term4_Special_Day_3[[#This Row],[End]]-Term4_Special_Day_3[[#This Row],[Start]])*1440)</f>
        <v/>
      </c>
      <c r="T126" s="105" t="str">
        <f>IF(ISBLANK(Term4_Special_Day_3[[#This Row],[Activity]]),"",IF(_xlfn.XLOOKUP(Term4_Special_Day_3[[#This Row],[Activity]],Types_of_Activity[Type of Activity],Types_of_Activity[Classification])=1,Term4_Special_Day_3[[#This Row],[Elapsed]],0))</f>
        <v/>
      </c>
      <c r="U126" s="105" t="str">
        <f>IF(ISBLANK(Term4_Special_Day_3[[#This Row],[Activity]]),"",IF(_xlfn.XLOOKUP(Term4_Special_Day_3[[#This Row],[Activity]],Types_of_Activity[Type of Activity],Types_of_Activity[Classification])=2,Term4_Special_Day_3[[#This Row],[Elapsed]],0))</f>
        <v/>
      </c>
      <c r="V126" s="105"/>
    </row>
    <row r="127" spans="2:22" x14ac:dyDescent="0.3">
      <c r="B127" s="135"/>
      <c r="C127" s="135"/>
      <c r="D127" s="102"/>
      <c r="E127" s="105" t="str">
        <f>IF(OR(ISBLANK(Term4_Special_Day_1[[#This Row],[Start]]),ISBLANK(Term4_Special_Day_1[[#This Row],[End]])),"",(Term4_Special_Day_1[[#This Row],[End]]-Term4_Special_Day_1[[#This Row],[Start]])*1440)</f>
        <v/>
      </c>
      <c r="F127" s="105" t="str">
        <f>IF(ISBLANK(Term4_Special_Day_1[[#This Row],[Activity]]),"",IF(_xlfn.XLOOKUP(Term4_Special_Day_1[[#This Row],[Activity]],Types_of_Activity[Type of Activity],Types_of_Activity[Classification])=1,Term4_Special_Day_1[[#This Row],[Elapsed]],0))</f>
        <v/>
      </c>
      <c r="G127" s="105" t="str">
        <f>IF(ISBLANK(Term4_Special_Day_1[[#This Row],[Activity]]),"",IF(_xlfn.XLOOKUP(Term4_Special_Day_1[[#This Row],[Activity]],Types_of_Activity[Type of Activity],Types_of_Activity[Classification])=2,Term4_Special_Day_1[[#This Row],[Elapsed]],0))</f>
        <v/>
      </c>
      <c r="H127"/>
      <c r="I127" s="135"/>
      <c r="J127" s="135"/>
      <c r="K127" s="102"/>
      <c r="L127" s="105" t="str">
        <f>IF(OR(ISBLANK(Term4_Special_Day_2[[#This Row],[Start]]),ISBLANK(Term4_Special_Day_2[[#This Row],[End]])),"",(Term4_Special_Day_2[[#This Row],[End]]-Term4_Special_Day_2[[#This Row],[Start]])*1440)</f>
        <v/>
      </c>
      <c r="M127" s="105" t="str">
        <f>IF(ISBLANK(Term4_Special_Day_2[[#This Row],[Activity]]),"",IF(_xlfn.XLOOKUP(Term4_Special_Day_2[[#This Row],[Activity]],Types_of_Activity[Type of Activity],Types_of_Activity[Classification])=1,Term4_Special_Day_2[[#This Row],[Elapsed]],0))</f>
        <v/>
      </c>
      <c r="N127" s="105" t="str">
        <f>IF(ISBLANK(Term4_Special_Day_2[[#This Row],[Activity]]),"",IF(_xlfn.XLOOKUP(Term4_Special_Day_2[[#This Row],[Activity]],Types_of_Activity[Type of Activity],Types_of_Activity[Classification])=2,Term4_Special_Day_2[[#This Row],[Elapsed]],0))</f>
        <v/>
      </c>
      <c r="O127"/>
      <c r="P127" s="135"/>
      <c r="Q127" s="135"/>
      <c r="R127" s="102"/>
      <c r="S127" s="105" t="str">
        <f>IF(OR(ISBLANK(Term4_Special_Day_3[[#This Row],[Start]]),ISBLANK(Term4_Special_Day_3[[#This Row],[End]])),"",(Term4_Special_Day_3[[#This Row],[End]]-Term4_Special_Day_3[[#This Row],[Start]])*1440)</f>
        <v/>
      </c>
      <c r="T127" s="105" t="str">
        <f>IF(ISBLANK(Term4_Special_Day_3[[#This Row],[Activity]]),"",IF(_xlfn.XLOOKUP(Term4_Special_Day_3[[#This Row],[Activity]],Types_of_Activity[Type of Activity],Types_of_Activity[Classification])=1,Term4_Special_Day_3[[#This Row],[Elapsed]],0))</f>
        <v/>
      </c>
      <c r="U127" s="105" t="str">
        <f>IF(ISBLANK(Term4_Special_Day_3[[#This Row],[Activity]]),"",IF(_xlfn.XLOOKUP(Term4_Special_Day_3[[#This Row],[Activity]],Types_of_Activity[Type of Activity],Types_of_Activity[Classification])=2,Term4_Special_Day_3[[#This Row],[Elapsed]],0))</f>
        <v/>
      </c>
      <c r="V127" s="105"/>
    </row>
    <row r="128" spans="2:22" x14ac:dyDescent="0.3">
      <c r="B128" s="135"/>
      <c r="C128" s="135"/>
      <c r="D128" s="102"/>
      <c r="E128" s="105" t="str">
        <f>IF(OR(ISBLANK(Term4_Special_Day_1[[#This Row],[Start]]),ISBLANK(Term4_Special_Day_1[[#This Row],[End]])),"",(Term4_Special_Day_1[[#This Row],[End]]-Term4_Special_Day_1[[#This Row],[Start]])*1440)</f>
        <v/>
      </c>
      <c r="F128" s="105" t="str">
        <f>IF(ISBLANK(Term4_Special_Day_1[[#This Row],[Activity]]),"",IF(_xlfn.XLOOKUP(Term4_Special_Day_1[[#This Row],[Activity]],Types_of_Activity[Type of Activity],Types_of_Activity[Classification])=1,Term4_Special_Day_1[[#This Row],[Elapsed]],0))</f>
        <v/>
      </c>
      <c r="G128" s="105" t="str">
        <f>IF(ISBLANK(Term4_Special_Day_1[[#This Row],[Activity]]),"",IF(_xlfn.XLOOKUP(Term4_Special_Day_1[[#This Row],[Activity]],Types_of_Activity[Type of Activity],Types_of_Activity[Classification])=2,Term4_Special_Day_1[[#This Row],[Elapsed]],0))</f>
        <v/>
      </c>
      <c r="H128"/>
      <c r="I128" s="135"/>
      <c r="J128" s="135"/>
      <c r="K128" s="102"/>
      <c r="L128" s="105" t="str">
        <f>IF(OR(ISBLANK(Term4_Special_Day_2[[#This Row],[Start]]),ISBLANK(Term4_Special_Day_2[[#This Row],[End]])),"",(Term4_Special_Day_2[[#This Row],[End]]-Term4_Special_Day_2[[#This Row],[Start]])*1440)</f>
        <v/>
      </c>
      <c r="M128" s="105" t="str">
        <f>IF(ISBLANK(Term4_Special_Day_2[[#This Row],[Activity]]),"",IF(_xlfn.XLOOKUP(Term4_Special_Day_2[[#This Row],[Activity]],Types_of_Activity[Type of Activity],Types_of_Activity[Classification])=1,Term4_Special_Day_2[[#This Row],[Elapsed]],0))</f>
        <v/>
      </c>
      <c r="N128" s="105" t="str">
        <f>IF(ISBLANK(Term4_Special_Day_2[[#This Row],[Activity]]),"",IF(_xlfn.XLOOKUP(Term4_Special_Day_2[[#This Row],[Activity]],Types_of_Activity[Type of Activity],Types_of_Activity[Classification])=2,Term4_Special_Day_2[[#This Row],[Elapsed]],0))</f>
        <v/>
      </c>
      <c r="O128"/>
      <c r="P128" s="135"/>
      <c r="Q128" s="135"/>
      <c r="R128" s="102"/>
      <c r="S128" s="105" t="str">
        <f>IF(OR(ISBLANK(Term4_Special_Day_3[[#This Row],[Start]]),ISBLANK(Term4_Special_Day_3[[#This Row],[End]])),"",(Term4_Special_Day_3[[#This Row],[End]]-Term4_Special_Day_3[[#This Row],[Start]])*1440)</f>
        <v/>
      </c>
      <c r="T128" s="105" t="str">
        <f>IF(ISBLANK(Term4_Special_Day_3[[#This Row],[Activity]]),"",IF(_xlfn.XLOOKUP(Term4_Special_Day_3[[#This Row],[Activity]],Types_of_Activity[Type of Activity],Types_of_Activity[Classification])=1,Term4_Special_Day_3[[#This Row],[Elapsed]],0))</f>
        <v/>
      </c>
      <c r="U128" s="105" t="str">
        <f>IF(ISBLANK(Term4_Special_Day_3[[#This Row],[Activity]]),"",IF(_xlfn.XLOOKUP(Term4_Special_Day_3[[#This Row],[Activity]],Types_of_Activity[Type of Activity],Types_of_Activity[Classification])=2,Term4_Special_Day_3[[#This Row],[Elapsed]],0))</f>
        <v/>
      </c>
      <c r="V128" s="105"/>
    </row>
    <row r="129" spans="2:22" x14ac:dyDescent="0.3">
      <c r="B129" s="135"/>
      <c r="C129" s="135"/>
      <c r="D129" s="102"/>
      <c r="E129" s="105" t="str">
        <f>IF(OR(ISBLANK(Term4_Special_Day_1[[#This Row],[Start]]),ISBLANK(Term4_Special_Day_1[[#This Row],[End]])),"",(Term4_Special_Day_1[[#This Row],[End]]-Term4_Special_Day_1[[#This Row],[Start]])*1440)</f>
        <v/>
      </c>
      <c r="F129" s="105" t="str">
        <f>IF(ISBLANK(Term4_Special_Day_1[[#This Row],[Activity]]),"",IF(_xlfn.XLOOKUP(Term4_Special_Day_1[[#This Row],[Activity]],Types_of_Activity[Type of Activity],Types_of_Activity[Classification])=1,Term4_Special_Day_1[[#This Row],[Elapsed]],0))</f>
        <v/>
      </c>
      <c r="G129" s="105" t="str">
        <f>IF(ISBLANK(Term4_Special_Day_1[[#This Row],[Activity]]),"",IF(_xlfn.XLOOKUP(Term4_Special_Day_1[[#This Row],[Activity]],Types_of_Activity[Type of Activity],Types_of_Activity[Classification])=2,Term4_Special_Day_1[[#This Row],[Elapsed]],0))</f>
        <v/>
      </c>
      <c r="H129"/>
      <c r="I129" s="135"/>
      <c r="J129" s="135"/>
      <c r="K129" s="102"/>
      <c r="L129" s="105" t="str">
        <f>IF(OR(ISBLANK(Term4_Special_Day_2[[#This Row],[Start]]),ISBLANK(Term4_Special_Day_2[[#This Row],[End]])),"",(Term4_Special_Day_2[[#This Row],[End]]-Term4_Special_Day_2[[#This Row],[Start]])*1440)</f>
        <v/>
      </c>
      <c r="M129" s="105" t="str">
        <f>IF(ISBLANK(Term4_Special_Day_2[[#This Row],[Activity]]),"",IF(_xlfn.XLOOKUP(Term4_Special_Day_2[[#This Row],[Activity]],Types_of_Activity[Type of Activity],Types_of_Activity[Classification])=1,Term4_Special_Day_2[[#This Row],[Elapsed]],0))</f>
        <v/>
      </c>
      <c r="N129" s="105" t="str">
        <f>IF(ISBLANK(Term4_Special_Day_2[[#This Row],[Activity]]),"",IF(_xlfn.XLOOKUP(Term4_Special_Day_2[[#This Row],[Activity]],Types_of_Activity[Type of Activity],Types_of_Activity[Classification])=2,Term4_Special_Day_2[[#This Row],[Elapsed]],0))</f>
        <v/>
      </c>
      <c r="O129"/>
      <c r="P129" s="135"/>
      <c r="Q129" s="135"/>
      <c r="R129" s="102"/>
      <c r="S129" s="105" t="str">
        <f>IF(OR(ISBLANK(Term4_Special_Day_3[[#This Row],[Start]]),ISBLANK(Term4_Special_Day_3[[#This Row],[End]])),"",(Term4_Special_Day_3[[#This Row],[End]]-Term4_Special_Day_3[[#This Row],[Start]])*1440)</f>
        <v/>
      </c>
      <c r="T129" s="105" t="str">
        <f>IF(ISBLANK(Term4_Special_Day_3[[#This Row],[Activity]]),"",IF(_xlfn.XLOOKUP(Term4_Special_Day_3[[#This Row],[Activity]],Types_of_Activity[Type of Activity],Types_of_Activity[Classification])=1,Term4_Special_Day_3[[#This Row],[Elapsed]],0))</f>
        <v/>
      </c>
      <c r="U129" s="105" t="str">
        <f>IF(ISBLANK(Term4_Special_Day_3[[#This Row],[Activity]]),"",IF(_xlfn.XLOOKUP(Term4_Special_Day_3[[#This Row],[Activity]],Types_of_Activity[Type of Activity],Types_of_Activity[Classification])=2,Term4_Special_Day_3[[#This Row],[Elapsed]],0))</f>
        <v/>
      </c>
      <c r="V129" s="105"/>
    </row>
    <row r="130" spans="2:22" x14ac:dyDescent="0.3">
      <c r="B130" s="135"/>
      <c r="C130" s="135"/>
      <c r="D130" s="102"/>
      <c r="E130" s="105" t="str">
        <f>IF(OR(ISBLANK(Term4_Special_Day_1[[#This Row],[Start]]),ISBLANK(Term4_Special_Day_1[[#This Row],[End]])),"",(Term4_Special_Day_1[[#This Row],[End]]-Term4_Special_Day_1[[#This Row],[Start]])*1440)</f>
        <v/>
      </c>
      <c r="F130" s="105" t="str">
        <f>IF(ISBLANK(Term4_Special_Day_1[[#This Row],[Activity]]),"",IF(_xlfn.XLOOKUP(Term4_Special_Day_1[[#This Row],[Activity]],Types_of_Activity[Type of Activity],Types_of_Activity[Classification])=1,Term4_Special_Day_1[[#This Row],[Elapsed]],0))</f>
        <v/>
      </c>
      <c r="G130" s="105" t="str">
        <f>IF(ISBLANK(Term4_Special_Day_1[[#This Row],[Activity]]),"",IF(_xlfn.XLOOKUP(Term4_Special_Day_1[[#This Row],[Activity]],Types_of_Activity[Type of Activity],Types_of_Activity[Classification])=2,Term4_Special_Day_1[[#This Row],[Elapsed]],0))</f>
        <v/>
      </c>
      <c r="H130"/>
      <c r="I130" s="135"/>
      <c r="J130" s="135"/>
      <c r="K130" s="102"/>
      <c r="L130" s="105" t="str">
        <f>IF(OR(ISBLANK(Term4_Special_Day_2[[#This Row],[Start]]),ISBLANK(Term4_Special_Day_2[[#This Row],[End]])),"",(Term4_Special_Day_2[[#This Row],[End]]-Term4_Special_Day_2[[#This Row],[Start]])*1440)</f>
        <v/>
      </c>
      <c r="M130" s="105" t="str">
        <f>IF(ISBLANK(Term4_Special_Day_2[[#This Row],[Activity]]),"",IF(_xlfn.XLOOKUP(Term4_Special_Day_2[[#This Row],[Activity]],Types_of_Activity[Type of Activity],Types_of_Activity[Classification])=1,Term4_Special_Day_2[[#This Row],[Elapsed]],0))</f>
        <v/>
      </c>
      <c r="N130" s="105" t="str">
        <f>IF(ISBLANK(Term4_Special_Day_2[[#This Row],[Activity]]),"",IF(_xlfn.XLOOKUP(Term4_Special_Day_2[[#This Row],[Activity]],Types_of_Activity[Type of Activity],Types_of_Activity[Classification])=2,Term4_Special_Day_2[[#This Row],[Elapsed]],0))</f>
        <v/>
      </c>
      <c r="O130"/>
      <c r="P130" s="135"/>
      <c r="Q130" s="135"/>
      <c r="R130" s="102"/>
      <c r="S130" s="105" t="str">
        <f>IF(OR(ISBLANK(Term4_Special_Day_3[[#This Row],[Start]]),ISBLANK(Term4_Special_Day_3[[#This Row],[End]])),"",(Term4_Special_Day_3[[#This Row],[End]]-Term4_Special_Day_3[[#This Row],[Start]])*1440)</f>
        <v/>
      </c>
      <c r="T130" s="105" t="str">
        <f>IF(ISBLANK(Term4_Special_Day_3[[#This Row],[Activity]]),"",IF(_xlfn.XLOOKUP(Term4_Special_Day_3[[#This Row],[Activity]],Types_of_Activity[Type of Activity],Types_of_Activity[Classification])=1,Term4_Special_Day_3[[#This Row],[Elapsed]],0))</f>
        <v/>
      </c>
      <c r="U130" s="105" t="str">
        <f>IF(ISBLANK(Term4_Special_Day_3[[#This Row],[Activity]]),"",IF(_xlfn.XLOOKUP(Term4_Special_Day_3[[#This Row],[Activity]],Types_of_Activity[Type of Activity],Types_of_Activity[Classification])=2,Term4_Special_Day_3[[#This Row],[Elapsed]],0))</f>
        <v/>
      </c>
      <c r="V130" s="105"/>
    </row>
    <row r="131" spans="2:22" x14ac:dyDescent="0.3">
      <c r="B131" s="135"/>
      <c r="C131" s="135"/>
      <c r="D131" s="102"/>
      <c r="E131" s="105" t="str">
        <f>IF(OR(ISBLANK(Term4_Special_Day_1[[#This Row],[Start]]),ISBLANK(Term4_Special_Day_1[[#This Row],[End]])),"",(Term4_Special_Day_1[[#This Row],[End]]-Term4_Special_Day_1[[#This Row],[Start]])*1440)</f>
        <v/>
      </c>
      <c r="F131" s="105" t="str">
        <f>IF(ISBLANK(Term4_Special_Day_1[[#This Row],[Activity]]),"",IF(_xlfn.XLOOKUP(Term4_Special_Day_1[[#This Row],[Activity]],Types_of_Activity[Type of Activity],Types_of_Activity[Classification])=1,Term4_Special_Day_1[[#This Row],[Elapsed]],0))</f>
        <v/>
      </c>
      <c r="G131" s="105" t="str">
        <f>IF(ISBLANK(Term4_Special_Day_1[[#This Row],[Activity]]),"",IF(_xlfn.XLOOKUP(Term4_Special_Day_1[[#This Row],[Activity]],Types_of_Activity[Type of Activity],Types_of_Activity[Classification])=2,Term4_Special_Day_1[[#This Row],[Elapsed]],0))</f>
        <v/>
      </c>
      <c r="H131"/>
      <c r="I131" s="135"/>
      <c r="J131" s="135"/>
      <c r="K131" s="102"/>
      <c r="L131" s="105" t="str">
        <f>IF(OR(ISBLANK(Term4_Special_Day_2[[#This Row],[Start]]),ISBLANK(Term4_Special_Day_2[[#This Row],[End]])),"",(Term4_Special_Day_2[[#This Row],[End]]-Term4_Special_Day_2[[#This Row],[Start]])*1440)</f>
        <v/>
      </c>
      <c r="M131" s="105" t="str">
        <f>IF(ISBLANK(Term4_Special_Day_2[[#This Row],[Activity]]),"",IF(_xlfn.XLOOKUP(Term4_Special_Day_2[[#This Row],[Activity]],Types_of_Activity[Type of Activity],Types_of_Activity[Classification])=1,Term4_Special_Day_2[[#This Row],[Elapsed]],0))</f>
        <v/>
      </c>
      <c r="N131" s="105" t="str">
        <f>IF(ISBLANK(Term4_Special_Day_2[[#This Row],[Activity]]),"",IF(_xlfn.XLOOKUP(Term4_Special_Day_2[[#This Row],[Activity]],Types_of_Activity[Type of Activity],Types_of_Activity[Classification])=2,Term4_Special_Day_2[[#This Row],[Elapsed]],0))</f>
        <v/>
      </c>
      <c r="O131"/>
      <c r="P131" s="135"/>
      <c r="Q131" s="135"/>
      <c r="R131" s="102"/>
      <c r="S131" s="105" t="str">
        <f>IF(OR(ISBLANK(Term4_Special_Day_3[[#This Row],[Start]]),ISBLANK(Term4_Special_Day_3[[#This Row],[End]])),"",(Term4_Special_Day_3[[#This Row],[End]]-Term4_Special_Day_3[[#This Row],[Start]])*1440)</f>
        <v/>
      </c>
      <c r="T131" s="105" t="str">
        <f>IF(ISBLANK(Term4_Special_Day_3[[#This Row],[Activity]]),"",IF(_xlfn.XLOOKUP(Term4_Special_Day_3[[#This Row],[Activity]],Types_of_Activity[Type of Activity],Types_of_Activity[Classification])=1,Term4_Special_Day_3[[#This Row],[Elapsed]],0))</f>
        <v/>
      </c>
      <c r="U131" s="105" t="str">
        <f>IF(ISBLANK(Term4_Special_Day_3[[#This Row],[Activity]]),"",IF(_xlfn.XLOOKUP(Term4_Special_Day_3[[#This Row],[Activity]],Types_of_Activity[Type of Activity],Types_of_Activity[Classification])=2,Term4_Special_Day_3[[#This Row],[Elapsed]],0))</f>
        <v/>
      </c>
      <c r="V131" s="105"/>
    </row>
  </sheetData>
  <sheetProtection algorithmName="SHA-512" hashValue="g4EDj7enLf25PcuEFlLf7S2l6cHffkS7qJWeW2xctFCIEhgU6p2/WUTM7pc+T4B2LOqvQyktzgOrFEKFLSA3qg==" saltValue="45yxj4r99wbbq3RZL6RROQ==" spinCount="100000" sheet="1" selectLockedCells="1"/>
  <mergeCells count="1">
    <mergeCell ref="B14:N14"/>
  </mergeCells>
  <conditionalFormatting sqref="B14:N14">
    <cfRule type="expression" dxfId="2" priority="1">
      <formula>Num_Terms=2</formula>
    </cfRule>
    <cfRule type="expression" dxfId="1" priority="2">
      <formula>Num_Terms=1</formula>
    </cfRule>
    <cfRule type="expression" dxfId="0" priority="3">
      <formula>Num_Terms=3</formula>
    </cfRule>
  </conditionalFormatting>
  <dataValidations count="1">
    <dataValidation type="time" allowBlank="1" showInputMessage="1" showErrorMessage="1" sqref="BM18:BN31 P18:Q31 W18:X31 AD18:AE31 AK18:AL31 AR18:AS31 B57:C69 I18:J31 AY18:AZ31 BF18:BG31 B18:C50 W57:X69 AD57:AE69 AK57:AL69" xr:uid="{DC891B34-9E9B-46FB-A43A-77FCBC545B5F}">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4CC8BFA3-088F-4F93-A240-E181BFB2AE7E}">
          <x14:formula1>
            <xm:f>_xlfn.ANCHORARRAY(Parameters!$F$25)</xm:f>
          </x14:formula1>
          <xm:sqref>AT18:AT50 K18:K50 R57:R89 AF18:AF50 AM18:AM50 R18:R50 K99:K131 R99:R131 BO18:BO50 K57:K89 D57:D89 D99:D131 Y18:Y50 BA18:BA50 BH18:BH50 D18:D50 Y57:Y89 AF57:AF89 AM57:AM89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2.xml>��< ? x m l   v e r s i o n = " 1 . 0 "   e n c o d i n g = " u t f - 1 6 " ? > < D a t a M a s h u p   x m l n s = " h t t p : / / s c h e m a s . m i c r o s o f t . c o m / D a t a M a s h u p " > A A A A A B Q D A A B Q S w M E F A A C A A g A L 3 1 7 V v P A I 5 q k A A A A 9 w A A A B I A H A B D b 2 5 m a W c v U G F j a 2 F n Z S 5 4 b W w g o h g A K K A U A A A A A A A A A A A A A A A A A A A A A A A A A A A A h Y 9 N C s I w G E S v U r J v / g S R k q Z I t x Y E Q d y G N L b B 9 q s 0 q e n d X H g k r 2 B F q + 5 c z p u 3 m L l f b y I b 2 y a 6 m N 7 Z D l L E M E W R A d 2 V F q o U D f 4 Y r 1 A m x V b p k 6 p M N M n g k t G V K a q 9 P y e E h B B w W O C u r w i n l J F D s d n p 2 r Q K f W T 7 X 4 4 t O K 9 A G y T F / j V G c s w Y x 5 w u O a a C z F Q U F r 4 G n w Y / 2 x 8 o 8 q H x Q 2 + k g T h f C z J H Q d 4 n 5 A N Q S w M E F A A C A A g A L 3 1 7 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9 9 e 1 Y o i k e 4 D g A A A B E A A A A T A B w A R m 9 y b X V s Y X M v U 2 V j d G l v b j E u b S C i G A A o o B Q A A A A A A A A A A A A A A A A A A A A A A A A A A A A r T k 0 u y c z P U w i G 0 I b W A F B L A Q I t A B Q A A g A I A C 9 9 e 1 b z w C O a p A A A A P c A A A A S A A A A A A A A A A A A A A A A A A A A A A B D b 2 5 m a W c v U G F j a 2 F n Z S 5 4 b W x Q S w E C L Q A U A A I A C A A v f X t W D 8 r p q 6 Q A A A D p A A A A E w A A A A A A A A A A A A A A A A D w A A A A W 0 N v b n R l b n R f V H l w Z X N d L n h t b F B L A Q I t A B Q A A g A I A C 9 9 e 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Z r 8 b W + k M M S K 9 + n c V s / 6 T u A A A A A A I A A A A A A A N m A A D A A A A A E A A A A B n o 8 i l B p b Y G M U c C r d T 2 + J g A A A A A B I A A A K A A A A A Q A A A A E V q j 6 d h V s j 6 y h r 3 z 4 2 4 Y I l A A A A D 8 P n p u 9 L d O 7 7 q 6 t i Q n I e b Y i w B 7 5 Y T S r T 6 0 z R d t q I 1 Y t 1 3 k M 4 o k g z y t U x b w q R 8 T j a u s h J C M E H p G y x n p S a 8 L Z S D k e f R W C J D s Y C r 4 2 4 K H n M k J B B Q A A A D q 6 V n P 5 A k p O J y h k / r 3 E 7 D M P + e x e g = = < / 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68F934C-124B-4362-A18A-2F536B211001}">
  <ds:schemaRefs>
    <ds:schemaRef ds:uri="http://www.w3.org/XML/1998/namespace"/>
    <ds:schemaRef ds:uri="http://purl.org/dc/elements/1.1/"/>
    <ds:schemaRef ds:uri="http://purl.org/dc/terms/"/>
    <ds:schemaRef ds:uri="230e9df3-be65-4c73-a93b-d1236ebd677e"/>
    <ds:schemaRef ds:uri="http://schemas.microsoft.com/office/2006/metadata/properties"/>
    <ds:schemaRef ds:uri="16c05727-aa75-4e4a-9b5f-8a80a1165891"/>
    <ds:schemaRef ds:uri="http://schemas.microsoft.com/office/2006/documentManagement/types"/>
    <ds:schemaRef ds:uri="http://schemas.microsoft.com/office/infopath/2007/PartnerControls"/>
    <ds:schemaRef ds:uri="71af3243-3dd4-4a8d-8c0d-dd76da1f02a5"/>
    <ds:schemaRef ds:uri="http://schemas.openxmlformats.org/package/2006/metadata/core-properties"/>
    <ds:schemaRef ds:uri="http://schemas.microsoft.com/sharepoint/v3"/>
    <ds:schemaRef ds:uri="http://purl.org/dc/dcmitype/"/>
  </ds:schemaRefs>
</ds:datastoreItem>
</file>

<file path=customXml/itemProps2.xml><?xml version="1.0" encoding="utf-8"?>
<ds:datastoreItem xmlns:ds="http://schemas.openxmlformats.org/officeDocument/2006/customXml" ds:itemID="{D5857895-4151-46B0-B9DA-8897BAC85F5A}">
  <ds:schemaRefs>
    <ds:schemaRef ds:uri="http://schemas.microsoft.com/DataMashup"/>
  </ds:schemaRefs>
</ds:datastoreItem>
</file>

<file path=customXml/itemProps3.xml><?xml version="1.0" encoding="utf-8"?>
<ds:datastoreItem xmlns:ds="http://schemas.openxmlformats.org/officeDocument/2006/customXml" ds:itemID="{37EDF9C6-805F-4811-AC82-04A9D9B4E109}">
  <ds:schemaRefs>
    <ds:schemaRef ds:uri="http://schemas.microsoft.com/sharepoint/v3/contenttype/forms"/>
  </ds:schemaRefs>
</ds:datastoreItem>
</file>

<file path=customXml/itemProps4.xml><?xml version="1.0" encoding="utf-8"?>
<ds:datastoreItem xmlns:ds="http://schemas.openxmlformats.org/officeDocument/2006/customXml" ds:itemID="{BE1DE9C7-A1BC-405A-81D0-0CC8BBDC89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TM34053033</Template>
  <Application>Microsoft Excel</Application>
  <DocSecurity>0</DocSecurity>
  <ScaleCrop>false</ScaleCrop>
  <HeadingPairs>
    <vt:vector size="4" baseType="variant">
      <vt:variant>
        <vt:lpstr>Worksheets</vt:lpstr>
      </vt:variant>
      <vt:variant>
        <vt:i4>12</vt:i4>
      </vt:variant>
      <vt:variant>
        <vt:lpstr>Named Ranges</vt:lpstr>
      </vt:variant>
      <vt:variant>
        <vt:i4>79</vt:i4>
      </vt:variant>
    </vt:vector>
  </HeadingPairs>
  <TitlesOfParts>
    <vt:vector size="91" baseType="lpstr">
      <vt:lpstr>START HERE</vt:lpstr>
      <vt:lpstr>Detailed Summary</vt:lpstr>
      <vt:lpstr>Definitions</vt:lpstr>
      <vt:lpstr>Calendar</vt:lpstr>
      <vt:lpstr>Exceptions</vt:lpstr>
      <vt:lpstr>Term 1 Timetable</vt:lpstr>
      <vt:lpstr>Term 2 Timetable</vt:lpstr>
      <vt:lpstr>Term 3 Timetable</vt:lpstr>
      <vt:lpstr>Term 4 Timetable</vt:lpstr>
      <vt:lpstr>Schools</vt:lpstr>
      <vt:lpstr>Calculations</vt:lpstr>
      <vt:lpstr>Parameters</vt:lpstr>
      <vt:lpstr>Calendar10Month</vt:lpstr>
      <vt:lpstr>Calendar10Year</vt:lpstr>
      <vt:lpstr>Calendar11Month</vt:lpstr>
      <vt:lpstr>Calendar11Year</vt:lpstr>
      <vt:lpstr>Calendar12Month</vt:lpstr>
      <vt:lpstr>Calendar12Year</vt:lpstr>
      <vt:lpstr>Calendar1Month</vt:lpstr>
      <vt:lpstr>Calendar1Year</vt:lpstr>
      <vt:lpstr>Calendar2Month</vt:lpstr>
      <vt:lpstr>Calendar2Year</vt:lpstr>
      <vt:lpstr>Calendar3Month</vt:lpstr>
      <vt:lpstr>Calendar3Year</vt:lpstr>
      <vt:lpstr>Calendar4Month</vt:lpstr>
      <vt:lpstr>Calendar4Year</vt:lpstr>
      <vt:lpstr>Calendar5Month</vt:lpstr>
      <vt:lpstr>Calendar5Year</vt:lpstr>
      <vt:lpstr>Calendar6Month</vt:lpstr>
      <vt:lpstr>Calendar6Year</vt:lpstr>
      <vt:lpstr>Calendar7Month</vt:lpstr>
      <vt:lpstr>Calendar7Year</vt:lpstr>
      <vt:lpstr>Calendar8Month</vt:lpstr>
      <vt:lpstr>Calendar8Year</vt:lpstr>
      <vt:lpstr>Calendar9Month</vt:lpstr>
      <vt:lpstr>Calendar9Year</vt:lpstr>
      <vt:lpstr>ColumnTitleRegion1..H12.1</vt:lpstr>
      <vt:lpstr>ColumnTitleRegion10..H54.1</vt:lpstr>
      <vt:lpstr>ColumnTitleRegion11..C56.1</vt:lpstr>
      <vt:lpstr>ColumnTitleRegion12..D56.1</vt:lpstr>
      <vt:lpstr>ColumnTitleRegion13..H68.1</vt:lpstr>
      <vt:lpstr>ColumnTitleRegion14..C70.1</vt:lpstr>
      <vt:lpstr>ColumnTitleRegion15..D70.1</vt:lpstr>
      <vt:lpstr>ColumnTitleRegion16..H82.1</vt:lpstr>
      <vt:lpstr>ColumnTitleRegion17..C84.1</vt:lpstr>
      <vt:lpstr>ColumnTitleRegion18..D84.1</vt:lpstr>
      <vt:lpstr>ColumnTitleRegion19..H96.1</vt:lpstr>
      <vt:lpstr>ColumnTitleRegion2..C14.1</vt:lpstr>
      <vt:lpstr>ColumnTitleRegion20..C98.1</vt:lpstr>
      <vt:lpstr>ColumnTitleRegion21..D98.1</vt:lpstr>
      <vt:lpstr>ColumnTitleRegion22..H110.1</vt:lpstr>
      <vt:lpstr>ColumnTitleRegion23..C112.1</vt:lpstr>
      <vt:lpstr>ColumnTitleRegion24..D112.1</vt:lpstr>
      <vt:lpstr>ColumnTitleRegion25..H124.1</vt:lpstr>
      <vt:lpstr>ColumnTitleRegion26..C126.1</vt:lpstr>
      <vt:lpstr>ColumnTitleRegion27..D126.1</vt:lpstr>
      <vt:lpstr>ColumnTitleRegion28..H138.1</vt:lpstr>
      <vt:lpstr>ColumnTitleRegion29..C140.1</vt:lpstr>
      <vt:lpstr>ColumnTitleRegion3..D14.1</vt:lpstr>
      <vt:lpstr>ColumnTitleRegion30..D140.1</vt:lpstr>
      <vt:lpstr>ColumnTitleRegion31..H152.1</vt:lpstr>
      <vt:lpstr>ColumnTitleRegion32..C154.1</vt:lpstr>
      <vt:lpstr>ColumnTitleRegion33..D154.1</vt:lpstr>
      <vt:lpstr>ColumnTitleRegion34..H166.1</vt:lpstr>
      <vt:lpstr>ColumnTitleRegion35..C168.1</vt:lpstr>
      <vt:lpstr>ColumnTitleRegion36..D168.1</vt:lpstr>
      <vt:lpstr>ColumnTitleRegion4..H26.1</vt:lpstr>
      <vt:lpstr>ColumnTitleRegion5..C28.1</vt:lpstr>
      <vt:lpstr>ColumnTitleRegion6..D28.1</vt:lpstr>
      <vt:lpstr>ColumnTitleRegion7..H40.1</vt:lpstr>
      <vt:lpstr>ColumnTitleRegion8..C42.1</vt:lpstr>
      <vt:lpstr>ColumnTitleRegion9..D42.1</vt:lpstr>
      <vt:lpstr>First_Instructional_Day1</vt:lpstr>
      <vt:lpstr>First_Instructional_Day2</vt:lpstr>
      <vt:lpstr>First_Instructional_Day3</vt:lpstr>
      <vt:lpstr>First_Instructional_Day4</vt:lpstr>
      <vt:lpstr>First_Operational_Day</vt:lpstr>
      <vt:lpstr>FTE</vt:lpstr>
      <vt:lpstr>Last_Operational_Day</vt:lpstr>
      <vt:lpstr>Num_Terms</vt:lpstr>
      <vt:lpstr>NumTeachers</vt:lpstr>
      <vt:lpstr>part_time_days</vt:lpstr>
      <vt:lpstr>PD_Length</vt:lpstr>
      <vt:lpstr>Planning_Length</vt:lpstr>
      <vt:lpstr>'Detailed Summary'!Print_Area</vt:lpstr>
      <vt:lpstr>Rotation</vt:lpstr>
      <vt:lpstr>rotationDays</vt:lpstr>
      <vt:lpstr>School</vt:lpstr>
      <vt:lpstr>TeacherName</vt:lpstr>
      <vt:lpstr>TypicalHours</vt:lpstr>
      <vt:lpstr>WeekStart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2022-12-26T23:55:29Z</dcterms:created>
  <dcterms:modified xsi:type="dcterms:W3CDTF">2026-06-22T17:43:59Z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